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67E83C5F-9290-42CB-B206-7C008F717108}" xr6:coauthVersionLast="40" xr6:coauthVersionMax="40" xr10:uidLastSave="{00000000-0000-0000-0000-000000000000}"/>
  <bookViews>
    <workbookView xWindow="0" yWindow="0" windowWidth="15345" windowHeight="3810" tabRatio="921" xr2:uid="{00000000-000D-0000-FFFF-FFFF00000000}"/>
  </bookViews>
  <sheets>
    <sheet name="Table of Contents" sheetId="1" r:id="rId1"/>
    <sheet name="Income Statement" sheetId="2" r:id="rId2"/>
    <sheet name="Common Sized Income Statement" sheetId="3" r:id="rId3"/>
    <sheet name="Balance Sheet" sheetId="4" r:id="rId4"/>
    <sheet name="Common Sized Balance Sheet" sheetId="5" r:id="rId5"/>
    <sheet name="Financing" sheetId="16" r:id="rId6"/>
    <sheet name="Other Properties Rev" sheetId="9" r:id="rId7"/>
    <sheet name="Project" sheetId="7" r:id="rId8"/>
    <sheet name="Ratios and WACC" sheetId="12" r:id="rId9"/>
    <sheet name="DuPont" sheetId="15" r:id="rId10"/>
  </sheets>
  <externalReferences>
    <externalReference r:id="rId11"/>
    <externalReference r:id="rId12"/>
  </externalReferences>
  <definedNames>
    <definedName name="ACC_O">'[1]Labels,Validation,Overrides'!$G$12</definedName>
    <definedName name="ADJ">'[1]Labels,Validation,Overrides'!$C$5</definedName>
    <definedName name="CONS_O">'[1]Labels,Validation,Overrides'!$C$12</definedName>
    <definedName name="CURR">'Income Statement'!#REF!</definedName>
    <definedName name="CURR_O">'[1]Labels,Validation,Overrides'!$E$12</definedName>
    <definedName name="ISGridNames">[1]IS!$A$1:$BU$1</definedName>
    <definedName name="TKR">'Income Statement'!#REF!&amp;" Equity"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5" l="1"/>
  <c r="D5" i="15"/>
  <c r="E5" i="15"/>
  <c r="F5" i="15"/>
  <c r="G5" i="15"/>
  <c r="H5" i="15"/>
  <c r="C14" i="12"/>
  <c r="D14" i="12"/>
  <c r="E14" i="12"/>
  <c r="F14" i="12"/>
  <c r="G14" i="12"/>
  <c r="H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C19" i="12"/>
  <c r="D19" i="12"/>
  <c r="E19" i="12"/>
  <c r="F19" i="12"/>
  <c r="G19" i="12"/>
  <c r="H19" i="12"/>
  <c r="C20" i="12"/>
  <c r="D20" i="12"/>
  <c r="E20" i="12"/>
  <c r="F20" i="12"/>
  <c r="G20" i="12"/>
  <c r="H20" i="12"/>
  <c r="C3" i="12"/>
  <c r="D3" i="12"/>
  <c r="E3" i="12"/>
  <c r="F3" i="12"/>
  <c r="G3" i="12"/>
  <c r="H3" i="12"/>
  <c r="C4" i="12"/>
  <c r="D4" i="12"/>
  <c r="E4" i="12"/>
  <c r="F4" i="12"/>
  <c r="G4" i="12"/>
  <c r="H4" i="12"/>
  <c r="M6" i="5"/>
  <c r="N6" i="5"/>
  <c r="O6" i="5"/>
  <c r="M7" i="5"/>
  <c r="N7" i="5"/>
  <c r="O7" i="5"/>
  <c r="M8" i="5"/>
  <c r="N8" i="5"/>
  <c r="O8" i="5"/>
  <c r="M9" i="5"/>
  <c r="N9" i="5"/>
  <c r="O9" i="5"/>
  <c r="M10" i="5"/>
  <c r="N10" i="5"/>
  <c r="O10" i="5"/>
  <c r="M11" i="5"/>
  <c r="N11" i="5"/>
  <c r="O11" i="5"/>
  <c r="M12" i="5"/>
  <c r="N12" i="5"/>
  <c r="O12" i="5"/>
  <c r="M13" i="5"/>
  <c r="N13" i="5"/>
  <c r="O13" i="5"/>
  <c r="M14" i="5"/>
  <c r="N14" i="5"/>
  <c r="O14" i="5"/>
  <c r="M19" i="5"/>
  <c r="N19" i="5"/>
  <c r="O19" i="5"/>
  <c r="M20" i="5"/>
  <c r="N20" i="5"/>
  <c r="O20" i="5"/>
  <c r="M21" i="5"/>
  <c r="N21" i="5"/>
  <c r="O21" i="5"/>
  <c r="M22" i="5"/>
  <c r="N22" i="5"/>
  <c r="O22" i="5"/>
  <c r="M23" i="5"/>
  <c r="N23" i="5"/>
  <c r="O23" i="5"/>
  <c r="M24" i="5"/>
  <c r="N24" i="5"/>
  <c r="O24" i="5"/>
  <c r="M26" i="5"/>
  <c r="N26" i="5"/>
  <c r="O26" i="5"/>
  <c r="M27" i="5"/>
  <c r="N27" i="5"/>
  <c r="O27" i="5"/>
  <c r="M28" i="5"/>
  <c r="N28" i="5"/>
  <c r="O28" i="5"/>
  <c r="M29" i="5"/>
  <c r="N29" i="5"/>
  <c r="O29" i="5"/>
  <c r="M30" i="5"/>
  <c r="N30" i="5"/>
  <c r="O30" i="5"/>
  <c r="J6" i="5"/>
  <c r="K6" i="5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9" i="5"/>
  <c r="K19" i="5"/>
  <c r="L19" i="5"/>
  <c r="J20" i="5"/>
  <c r="K20" i="5"/>
  <c r="L20" i="5"/>
  <c r="J21" i="5"/>
  <c r="K21" i="5"/>
  <c r="L21" i="5"/>
  <c r="J22" i="5"/>
  <c r="K22" i="5"/>
  <c r="L22" i="5"/>
  <c r="J23" i="5"/>
  <c r="K23" i="5"/>
  <c r="L23" i="5"/>
  <c r="J24" i="5"/>
  <c r="K24" i="5"/>
  <c r="L24" i="5"/>
  <c r="J26" i="5"/>
  <c r="K26" i="5"/>
  <c r="L26" i="5"/>
  <c r="J27" i="5"/>
  <c r="K27" i="5"/>
  <c r="L27" i="5"/>
  <c r="J28" i="5"/>
  <c r="K28" i="5"/>
  <c r="L28" i="5"/>
  <c r="J29" i="5"/>
  <c r="K29" i="5"/>
  <c r="L29" i="5"/>
  <c r="J30" i="5"/>
  <c r="K30" i="5"/>
  <c r="L30" i="5"/>
  <c r="I7" i="5"/>
  <c r="I8" i="5"/>
  <c r="I9" i="5"/>
  <c r="I10" i="5"/>
  <c r="I11" i="5"/>
  <c r="I12" i="5"/>
  <c r="I13" i="5"/>
  <c r="I14" i="5"/>
  <c r="I19" i="5"/>
  <c r="I20" i="5"/>
  <c r="I21" i="5"/>
  <c r="I22" i="5"/>
  <c r="I23" i="5"/>
  <c r="I24" i="5"/>
  <c r="I26" i="5"/>
  <c r="I27" i="5"/>
  <c r="I28" i="5"/>
  <c r="I29" i="5"/>
  <c r="I30" i="5"/>
  <c r="M21" i="4"/>
  <c r="M12" i="4"/>
  <c r="J35" i="4"/>
  <c r="K35" i="4" s="1"/>
  <c r="L35" i="4" s="1"/>
  <c r="O35" i="4" s="1"/>
  <c r="J36" i="4"/>
  <c r="K36" i="4" s="1"/>
  <c r="N36" i="4" s="1"/>
  <c r="J37" i="4"/>
  <c r="J38" i="4"/>
  <c r="K38" i="4" s="1"/>
  <c r="N38" i="4" s="1"/>
  <c r="J39" i="4"/>
  <c r="K39" i="4" s="1"/>
  <c r="L39" i="4" s="1"/>
  <c r="O39" i="4" s="1"/>
  <c r="J31" i="4"/>
  <c r="K31" i="4" s="1"/>
  <c r="L31" i="4" s="1"/>
  <c r="O31" i="4" s="1"/>
  <c r="J30" i="4"/>
  <c r="K30" i="4" s="1"/>
  <c r="L30" i="4" s="1"/>
  <c r="O30" i="4" s="1"/>
  <c r="J29" i="4"/>
  <c r="K29" i="4" s="1"/>
  <c r="L29" i="4" s="1"/>
  <c r="O29" i="4" s="1"/>
  <c r="J27" i="4"/>
  <c r="K27" i="4" s="1"/>
  <c r="L27" i="4" s="1"/>
  <c r="O27" i="4" s="1"/>
  <c r="J26" i="4"/>
  <c r="J22" i="4"/>
  <c r="K22" i="4" s="1"/>
  <c r="L22" i="4" s="1"/>
  <c r="O22" i="4" s="1"/>
  <c r="J20" i="4"/>
  <c r="K20" i="4" s="1"/>
  <c r="J21" i="4"/>
  <c r="J19" i="4"/>
  <c r="K19" i="4" s="1"/>
  <c r="L19" i="4" s="1"/>
  <c r="O19" i="4" s="1"/>
  <c r="L14" i="4"/>
  <c r="L15" i="4"/>
  <c r="L16" i="4"/>
  <c r="J8" i="4"/>
  <c r="J9" i="4"/>
  <c r="M9" i="4" s="1"/>
  <c r="J10" i="4"/>
  <c r="J11" i="4"/>
  <c r="J12" i="4"/>
  <c r="N12" i="4" s="1"/>
  <c r="J13" i="4"/>
  <c r="K13" i="4" s="1"/>
  <c r="N13" i="4" s="1"/>
  <c r="J14" i="4"/>
  <c r="J15" i="4"/>
  <c r="J16" i="4"/>
  <c r="J17" i="4"/>
  <c r="L17" i="4" s="1"/>
  <c r="J7" i="4"/>
  <c r="K7" i="4" s="1"/>
  <c r="N7" i="4" s="1"/>
  <c r="B3" i="12"/>
  <c r="D25" i="7"/>
  <c r="C8" i="7"/>
  <c r="C7" i="7"/>
  <c r="C20" i="9"/>
  <c r="J28" i="4" l="1"/>
  <c r="J32" i="4" s="1"/>
  <c r="L38" i="4"/>
  <c r="O38" i="4" s="1"/>
  <c r="M13" i="4"/>
  <c r="M22" i="4"/>
  <c r="N21" i="4"/>
  <c r="N19" i="4"/>
  <c r="N30" i="4"/>
  <c r="M38" i="4"/>
  <c r="M7" i="4"/>
  <c r="M26" i="4"/>
  <c r="M30" i="4"/>
  <c r="N27" i="4"/>
  <c r="M35" i="4"/>
  <c r="M39" i="4"/>
  <c r="N39" i="4"/>
  <c r="N35" i="4"/>
  <c r="N22" i="4"/>
  <c r="M27" i="4"/>
  <c r="M29" i="4"/>
  <c r="N31" i="4"/>
  <c r="N29" i="4"/>
  <c r="M36" i="4"/>
  <c r="K37" i="4"/>
  <c r="N37" i="4" s="1"/>
  <c r="M31" i="4"/>
  <c r="M37" i="4"/>
  <c r="L36" i="4"/>
  <c r="O36" i="4" s="1"/>
  <c r="K26" i="4"/>
  <c r="L13" i="4"/>
  <c r="O13" i="4" s="1"/>
  <c r="K9" i="4"/>
  <c r="K10" i="4"/>
  <c r="L10" i="4" s="1"/>
  <c r="K21" i="4"/>
  <c r="L21" i="4" s="1"/>
  <c r="L7" i="4"/>
  <c r="O7" i="4" s="1"/>
  <c r="J18" i="4"/>
  <c r="J23" i="4" s="1"/>
  <c r="K12" i="4"/>
  <c r="L12" i="4" s="1"/>
  <c r="K8" i="4"/>
  <c r="L20" i="4"/>
  <c r="K11" i="4"/>
  <c r="L11" i="4" s="1"/>
  <c r="M18" i="4" l="1"/>
  <c r="L9" i="4"/>
  <c r="O9" i="4" s="1"/>
  <c r="N9" i="4"/>
  <c r="N18" i="4" s="1"/>
  <c r="M28" i="4"/>
  <c r="M32" i="4" s="1"/>
  <c r="L26" i="4"/>
  <c r="N26" i="4"/>
  <c r="N28" i="4" s="1"/>
  <c r="N32" i="4" s="1"/>
  <c r="O12" i="4"/>
  <c r="L37" i="4"/>
  <c r="O37" i="4" s="1"/>
  <c r="O21" i="4"/>
  <c r="K28" i="4"/>
  <c r="K32" i="4" s="1"/>
  <c r="K18" i="4"/>
  <c r="K23" i="4" s="1"/>
  <c r="L8" i="4"/>
  <c r="L4" i="12"/>
  <c r="L3" i="12"/>
  <c r="C3" i="16"/>
  <c r="I3" i="16" s="1"/>
  <c r="O18" i="4" l="1"/>
  <c r="L18" i="4"/>
  <c r="L23" i="4" s="1"/>
  <c r="L28" i="4"/>
  <c r="L32" i="4" s="1"/>
  <c r="O26" i="4"/>
  <c r="O28" i="4" s="1"/>
  <c r="O32" i="4" s="1"/>
  <c r="F3" i="16"/>
  <c r="D3" i="16"/>
  <c r="G3" i="16"/>
  <c r="H3" i="16"/>
  <c r="J20" i="2" l="1"/>
  <c r="D36" i="7"/>
  <c r="I21" i="7"/>
  <c r="D24" i="7"/>
  <c r="C23" i="7"/>
  <c r="D17" i="7"/>
  <c r="D18" i="7" s="1"/>
  <c r="D11" i="9"/>
  <c r="D12" i="9"/>
  <c r="D13" i="9"/>
  <c r="D14" i="9"/>
  <c r="D10" i="9"/>
  <c r="C15" i="9"/>
  <c r="D15" i="9" s="1"/>
  <c r="H5" i="9"/>
  <c r="K14" i="12"/>
  <c r="C21" i="7" s="1"/>
  <c r="B2" i="15"/>
  <c r="D16" i="7" l="1"/>
  <c r="N20" i="4"/>
  <c r="N23" i="4" s="1"/>
  <c r="M20" i="4"/>
  <c r="O20" i="4"/>
  <c r="O23" i="4" s="1"/>
  <c r="C9" i="7"/>
  <c r="B11" i="12"/>
  <c r="B4" i="15" s="1"/>
  <c r="B10" i="12"/>
  <c r="B9" i="12"/>
  <c r="B27" i="12"/>
  <c r="B26" i="12"/>
  <c r="B25" i="12"/>
  <c r="B3" i="15" s="1"/>
  <c r="B24" i="12"/>
  <c r="B23" i="12"/>
  <c r="B19" i="12"/>
  <c r="B20" i="12"/>
  <c r="B18" i="12"/>
  <c r="B17" i="12"/>
  <c r="B5" i="15" s="1"/>
  <c r="B16" i="12"/>
  <c r="B15" i="12"/>
  <c r="B14" i="12"/>
  <c r="B8" i="12"/>
  <c r="B5" i="12"/>
  <c r="B4" i="12"/>
  <c r="K4" i="12"/>
  <c r="K5" i="12" s="1"/>
  <c r="M4" i="12"/>
  <c r="L14" i="12"/>
  <c r="L10" i="12"/>
  <c r="L9" i="12"/>
  <c r="L8" i="12"/>
  <c r="L5" i="12"/>
  <c r="L6" i="12"/>
  <c r="K11" i="12"/>
  <c r="K21" i="12"/>
  <c r="K23" i="12" s="1"/>
  <c r="D37" i="7" l="1"/>
  <c r="D26" i="7" s="1"/>
  <c r="M19" i="4"/>
  <c r="M23" i="4" s="1"/>
  <c r="B6" i="15"/>
  <c r="L15" i="12"/>
  <c r="L11" i="12"/>
  <c r="K6" i="12"/>
  <c r="D28" i="7" l="1"/>
  <c r="I25" i="7"/>
  <c r="I29" i="7"/>
  <c r="I33" i="7"/>
  <c r="I37" i="7"/>
  <c r="I41" i="7"/>
  <c r="I26" i="7"/>
  <c r="I30" i="7"/>
  <c r="I34" i="7"/>
  <c r="I38" i="7"/>
  <c r="I22" i="7"/>
  <c r="I23" i="7"/>
  <c r="I27" i="7"/>
  <c r="I31" i="7"/>
  <c r="I35" i="7"/>
  <c r="I39" i="7"/>
  <c r="I24" i="7"/>
  <c r="I28" i="7"/>
  <c r="I32" i="7"/>
  <c r="I36" i="7"/>
  <c r="I40" i="7"/>
  <c r="K15" i="12"/>
  <c r="C22" i="7" s="1"/>
  <c r="C60" i="2"/>
  <c r="D60" i="2"/>
  <c r="E60" i="2"/>
  <c r="F60" i="2"/>
  <c r="G60" i="2"/>
  <c r="H60" i="2"/>
  <c r="I60" i="2"/>
  <c r="B60" i="2"/>
  <c r="J61" i="2" s="1"/>
  <c r="C34" i="4"/>
  <c r="D34" i="4"/>
  <c r="E34" i="4"/>
  <c r="F34" i="4"/>
  <c r="G34" i="4"/>
  <c r="H34" i="4"/>
  <c r="I34" i="4"/>
  <c r="B34" i="4"/>
  <c r="J34" i="4" s="1"/>
  <c r="K34" i="4" l="1"/>
  <c r="J40" i="4"/>
  <c r="J41" i="4" s="1"/>
  <c r="M34" i="4"/>
  <c r="M40" i="4" s="1"/>
  <c r="M41" i="4" s="1"/>
  <c r="L34" i="4"/>
  <c r="N34" i="4"/>
  <c r="N40" i="4" s="1"/>
  <c r="N41" i="4" s="1"/>
  <c r="K40" i="4"/>
  <c r="K41" i="4" s="1"/>
  <c r="D32" i="7"/>
  <c r="D31" i="7"/>
  <c r="J25" i="7"/>
  <c r="J29" i="7"/>
  <c r="J33" i="7"/>
  <c r="J37" i="7"/>
  <c r="J41" i="7"/>
  <c r="D33" i="7"/>
  <c r="J26" i="7"/>
  <c r="J30" i="7"/>
  <c r="J34" i="7"/>
  <c r="J38" i="7"/>
  <c r="J22" i="7"/>
  <c r="J24" i="7"/>
  <c r="J28" i="7"/>
  <c r="J32" i="7"/>
  <c r="J36" i="7"/>
  <c r="J40" i="7"/>
  <c r="D29" i="7"/>
  <c r="J23" i="7"/>
  <c r="J27" i="7"/>
  <c r="J31" i="7"/>
  <c r="J35" i="7"/>
  <c r="J39" i="7"/>
  <c r="J60" i="2"/>
  <c r="C19" i="5"/>
  <c r="D19" i="5"/>
  <c r="E19" i="5"/>
  <c r="F19" i="5"/>
  <c r="G19" i="5"/>
  <c r="H19" i="5"/>
  <c r="C20" i="5"/>
  <c r="D20" i="5"/>
  <c r="E20" i="5"/>
  <c r="F20" i="5"/>
  <c r="G20" i="5"/>
  <c r="H20" i="5"/>
  <c r="C21" i="5"/>
  <c r="D21" i="5"/>
  <c r="E21" i="5"/>
  <c r="F21" i="5"/>
  <c r="G21" i="5"/>
  <c r="H21" i="5"/>
  <c r="C22" i="5"/>
  <c r="D22" i="5"/>
  <c r="E22" i="5"/>
  <c r="F22" i="5"/>
  <c r="G22" i="5"/>
  <c r="H22" i="5"/>
  <c r="C23" i="5"/>
  <c r="D23" i="5"/>
  <c r="E23" i="5"/>
  <c r="F23" i="5"/>
  <c r="G23" i="5"/>
  <c r="H23" i="5"/>
  <c r="C24" i="5"/>
  <c r="D24" i="5"/>
  <c r="E24" i="5"/>
  <c r="F24" i="5"/>
  <c r="G24" i="5"/>
  <c r="H24" i="5"/>
  <c r="C26" i="5"/>
  <c r="D26" i="5"/>
  <c r="E26" i="5"/>
  <c r="F26" i="5"/>
  <c r="G26" i="5"/>
  <c r="H26" i="5"/>
  <c r="C27" i="5"/>
  <c r="D27" i="5"/>
  <c r="E27" i="5"/>
  <c r="F27" i="5"/>
  <c r="G27" i="5"/>
  <c r="H27" i="5"/>
  <c r="C28" i="5"/>
  <c r="D28" i="5"/>
  <c r="E28" i="5"/>
  <c r="F28" i="5"/>
  <c r="G28" i="5"/>
  <c r="H28" i="5"/>
  <c r="C29" i="5"/>
  <c r="D29" i="5"/>
  <c r="E29" i="5"/>
  <c r="F29" i="5"/>
  <c r="G29" i="5"/>
  <c r="H29" i="5"/>
  <c r="C30" i="5"/>
  <c r="D30" i="5"/>
  <c r="E30" i="5"/>
  <c r="F30" i="5"/>
  <c r="G30" i="5"/>
  <c r="H30" i="5"/>
  <c r="B30" i="5"/>
  <c r="B29" i="5"/>
  <c r="B28" i="5"/>
  <c r="B27" i="5"/>
  <c r="B26" i="5"/>
  <c r="B24" i="5"/>
  <c r="B23" i="5"/>
  <c r="B22" i="5"/>
  <c r="B21" i="5"/>
  <c r="B20" i="5"/>
  <c r="B19" i="5"/>
  <c r="C6" i="5"/>
  <c r="D6" i="5"/>
  <c r="E6" i="5"/>
  <c r="F6" i="5"/>
  <c r="G6" i="5"/>
  <c r="H6" i="5"/>
  <c r="I6" i="5"/>
  <c r="C7" i="5"/>
  <c r="D7" i="5"/>
  <c r="E7" i="5"/>
  <c r="F7" i="5"/>
  <c r="G7" i="5"/>
  <c r="H7" i="5"/>
  <c r="C8" i="5"/>
  <c r="D8" i="5"/>
  <c r="E8" i="5"/>
  <c r="F8" i="5"/>
  <c r="G8" i="5"/>
  <c r="H8" i="5"/>
  <c r="C9" i="5"/>
  <c r="D9" i="5"/>
  <c r="E9" i="5"/>
  <c r="F9" i="5"/>
  <c r="G9" i="5"/>
  <c r="H9" i="5"/>
  <c r="C10" i="5"/>
  <c r="D10" i="5"/>
  <c r="E10" i="5"/>
  <c r="F10" i="5"/>
  <c r="G10" i="5"/>
  <c r="H10" i="5"/>
  <c r="C11" i="5"/>
  <c r="D11" i="5"/>
  <c r="E11" i="5"/>
  <c r="F11" i="5"/>
  <c r="G11" i="5"/>
  <c r="H11" i="5"/>
  <c r="C12" i="5"/>
  <c r="D12" i="5"/>
  <c r="E12" i="5"/>
  <c r="F12" i="5"/>
  <c r="G12" i="5"/>
  <c r="H12" i="5"/>
  <c r="C13" i="5"/>
  <c r="D13" i="5"/>
  <c r="E13" i="5"/>
  <c r="F13" i="5"/>
  <c r="G13" i="5"/>
  <c r="H13" i="5"/>
  <c r="C14" i="5"/>
  <c r="D14" i="5"/>
  <c r="E14" i="5"/>
  <c r="F14" i="5"/>
  <c r="G14" i="5"/>
  <c r="H14" i="5"/>
  <c r="B13" i="5"/>
  <c r="B12" i="5"/>
  <c r="B11" i="5"/>
  <c r="B10" i="5"/>
  <c r="B9" i="5"/>
  <c r="B8" i="5"/>
  <c r="B7" i="5"/>
  <c r="B6" i="5"/>
  <c r="B14" i="5"/>
  <c r="K27" i="2"/>
  <c r="L27" i="2"/>
  <c r="K36" i="2"/>
  <c r="L36" i="2"/>
  <c r="K41" i="2"/>
  <c r="L41" i="2"/>
  <c r="K46" i="2"/>
  <c r="L46" i="2"/>
  <c r="K47" i="2"/>
  <c r="L47" i="2"/>
  <c r="K48" i="2"/>
  <c r="L48" i="2"/>
  <c r="J54" i="2"/>
  <c r="J53" i="2"/>
  <c r="J52" i="2"/>
  <c r="J51" i="2"/>
  <c r="J50" i="2"/>
  <c r="J49" i="2"/>
  <c r="J48" i="2"/>
  <c r="J47" i="2"/>
  <c r="J46" i="2"/>
  <c r="J45" i="2"/>
  <c r="K45" i="2" s="1"/>
  <c r="L45" i="2" s="1"/>
  <c r="J44" i="2"/>
  <c r="J43" i="2"/>
  <c r="J42" i="2"/>
  <c r="J41" i="2"/>
  <c r="J40" i="2"/>
  <c r="K40" i="2" s="1"/>
  <c r="L40" i="2" s="1"/>
  <c r="J39" i="2"/>
  <c r="K39" i="2" s="1"/>
  <c r="J38" i="2"/>
  <c r="K38" i="2" s="1"/>
  <c r="L38" i="2" s="1"/>
  <c r="J37" i="2"/>
  <c r="K37" i="2" s="1"/>
  <c r="J36" i="2"/>
  <c r="J35" i="2"/>
  <c r="J34" i="2"/>
  <c r="J32" i="2"/>
  <c r="J31" i="2"/>
  <c r="J30" i="2"/>
  <c r="K30" i="2" s="1"/>
  <c r="J29" i="2"/>
  <c r="J28" i="2"/>
  <c r="J27" i="2"/>
  <c r="J26" i="2"/>
  <c r="J25" i="2"/>
  <c r="K25" i="2" s="1"/>
  <c r="J24" i="2"/>
  <c r="J23" i="2"/>
  <c r="J22" i="2"/>
  <c r="M22" i="2" s="1"/>
  <c r="J21" i="2"/>
  <c r="J19" i="2"/>
  <c r="M19" i="2" s="1"/>
  <c r="J18" i="2"/>
  <c r="M18" i="2" s="1"/>
  <c r="J17" i="2"/>
  <c r="J16" i="2"/>
  <c r="M16" i="2" s="1"/>
  <c r="J15" i="2"/>
  <c r="J14" i="2"/>
  <c r="M14" i="2" s="1"/>
  <c r="J13" i="2"/>
  <c r="J11" i="2"/>
  <c r="J9" i="2"/>
  <c r="J8" i="2"/>
  <c r="J7" i="2"/>
  <c r="D18" i="3"/>
  <c r="E18" i="3"/>
  <c r="F18" i="3"/>
  <c r="G18" i="3"/>
  <c r="H18" i="3"/>
  <c r="I18" i="3"/>
  <c r="J18" i="3"/>
  <c r="C18" i="3"/>
  <c r="D17" i="3"/>
  <c r="E17" i="3"/>
  <c r="F17" i="3"/>
  <c r="G17" i="3"/>
  <c r="H17" i="3"/>
  <c r="I17" i="3"/>
  <c r="J17" i="3"/>
  <c r="C17" i="3"/>
  <c r="D15" i="3"/>
  <c r="E15" i="3"/>
  <c r="F15" i="3"/>
  <c r="G15" i="3"/>
  <c r="H15" i="3"/>
  <c r="I15" i="3"/>
  <c r="J15" i="3"/>
  <c r="D16" i="3"/>
  <c r="E16" i="3"/>
  <c r="F16" i="3"/>
  <c r="G16" i="3"/>
  <c r="H16" i="3"/>
  <c r="I16" i="3"/>
  <c r="J16" i="3"/>
  <c r="C16" i="3"/>
  <c r="C15" i="3"/>
  <c r="D5" i="3"/>
  <c r="E5" i="3"/>
  <c r="F5" i="3"/>
  <c r="G5" i="3"/>
  <c r="H5" i="3"/>
  <c r="I5" i="3"/>
  <c r="J5" i="3"/>
  <c r="D6" i="3"/>
  <c r="E6" i="3"/>
  <c r="F6" i="3"/>
  <c r="G6" i="3"/>
  <c r="H6" i="3"/>
  <c r="I6" i="3"/>
  <c r="J6" i="3"/>
  <c r="D7" i="3"/>
  <c r="E7" i="3"/>
  <c r="F7" i="3"/>
  <c r="G7" i="3"/>
  <c r="H7" i="3"/>
  <c r="I7" i="3"/>
  <c r="J7" i="3"/>
  <c r="D8" i="3"/>
  <c r="E8" i="3"/>
  <c r="F8" i="3"/>
  <c r="G8" i="3"/>
  <c r="H8" i="3"/>
  <c r="I8" i="3"/>
  <c r="J8" i="3"/>
  <c r="D9" i="3"/>
  <c r="E9" i="3"/>
  <c r="F9" i="3"/>
  <c r="G9" i="3"/>
  <c r="H9" i="3"/>
  <c r="I9" i="3"/>
  <c r="J9" i="3"/>
  <c r="D10" i="3"/>
  <c r="E10" i="3"/>
  <c r="F10" i="3"/>
  <c r="G10" i="3"/>
  <c r="H10" i="3"/>
  <c r="I10" i="3"/>
  <c r="J10" i="3"/>
  <c r="D11" i="3"/>
  <c r="E11" i="3"/>
  <c r="F11" i="3"/>
  <c r="G11" i="3"/>
  <c r="H11" i="3"/>
  <c r="I11" i="3"/>
  <c r="J11" i="3"/>
  <c r="D12" i="3"/>
  <c r="E12" i="3"/>
  <c r="F12" i="3"/>
  <c r="G12" i="3"/>
  <c r="H12" i="3"/>
  <c r="I12" i="3"/>
  <c r="J12" i="3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J14" i="3"/>
  <c r="C14" i="3"/>
  <c r="C13" i="3"/>
  <c r="C12" i="3"/>
  <c r="C11" i="3"/>
  <c r="C10" i="3"/>
  <c r="C9" i="3"/>
  <c r="C8" i="3"/>
  <c r="C7" i="3"/>
  <c r="C6" i="3"/>
  <c r="C5" i="3"/>
  <c r="C24" i="12" l="1"/>
  <c r="C5" i="12"/>
  <c r="O34" i="4"/>
  <c r="O40" i="4" s="1"/>
  <c r="O41" i="4" s="1"/>
  <c r="L40" i="4"/>
  <c r="L41" i="4" s="1"/>
  <c r="K24" i="2"/>
  <c r="N24" i="2" s="1"/>
  <c r="M24" i="2"/>
  <c r="J42" i="7"/>
  <c r="D30" i="7" s="1"/>
  <c r="K23" i="2"/>
  <c r="N23" i="2" s="1"/>
  <c r="M23" i="2"/>
  <c r="J10" i="2"/>
  <c r="M7" i="2"/>
  <c r="N5" i="3" s="1"/>
  <c r="K21" i="2"/>
  <c r="N21" i="2" s="1"/>
  <c r="M21" i="2"/>
  <c r="K49" i="2"/>
  <c r="J12" i="2"/>
  <c r="J33" i="2"/>
  <c r="K20" i="2"/>
  <c r="L20" i="2" s="1"/>
  <c r="K29" i="2"/>
  <c r="L29" i="2" s="1"/>
  <c r="K14" i="2"/>
  <c r="N14" i="2" s="1"/>
  <c r="K28" i="2"/>
  <c r="L28" i="2" s="1"/>
  <c r="K7" i="2"/>
  <c r="L17" i="3" s="1"/>
  <c r="K34" i="2"/>
  <c r="L34" i="2" s="1"/>
  <c r="L37" i="2"/>
  <c r="L30" i="2"/>
  <c r="L39" i="2"/>
  <c r="L24" i="2"/>
  <c r="O24" i="2" s="1"/>
  <c r="K19" i="2"/>
  <c r="K13" i="2"/>
  <c r="L13" i="2" s="1"/>
  <c r="K44" i="2"/>
  <c r="L44" i="2" s="1"/>
  <c r="K18" i="2"/>
  <c r="K11" i="2"/>
  <c r="L11" i="2" s="1"/>
  <c r="K43" i="2"/>
  <c r="L43" i="2" s="1"/>
  <c r="K32" i="2"/>
  <c r="L32" i="2" s="1"/>
  <c r="K26" i="2"/>
  <c r="L26" i="2" s="1"/>
  <c r="K22" i="2"/>
  <c r="N22" i="2" s="1"/>
  <c r="K17" i="2"/>
  <c r="L17" i="2" s="1"/>
  <c r="K42" i="2"/>
  <c r="L42" i="2" s="1"/>
  <c r="K31" i="2"/>
  <c r="L31" i="2" s="1"/>
  <c r="L25" i="2"/>
  <c r="K16" i="2"/>
  <c r="N16" i="2" s="1"/>
  <c r="K35" i="2"/>
  <c r="L35" i="2" s="1"/>
  <c r="K15" i="2"/>
  <c r="L15" i="2" s="1"/>
  <c r="K9" i="2"/>
  <c r="L9" i="2" s="1"/>
  <c r="K8" i="2"/>
  <c r="L8" i="2" s="1"/>
  <c r="L11" i="3"/>
  <c r="K15" i="3"/>
  <c r="K14" i="3"/>
  <c r="K13" i="3"/>
  <c r="K8" i="3"/>
  <c r="K10" i="3"/>
  <c r="K17" i="3"/>
  <c r="K5" i="3"/>
  <c r="L21" i="2" l="1"/>
  <c r="O21" i="2" s="1"/>
  <c r="K7" i="3"/>
  <c r="C9" i="12"/>
  <c r="C11" i="12"/>
  <c r="C4" i="15" s="1"/>
  <c r="C23" i="12"/>
  <c r="C10" i="12"/>
  <c r="N13" i="3"/>
  <c r="N8" i="3"/>
  <c r="N14" i="3"/>
  <c r="N16" i="3"/>
  <c r="D5" i="12"/>
  <c r="D24" i="12"/>
  <c r="K6" i="3"/>
  <c r="C8" i="12"/>
  <c r="N17" i="3"/>
  <c r="N11" i="3"/>
  <c r="K18" i="3"/>
  <c r="C26" i="12"/>
  <c r="C25" i="12"/>
  <c r="C3" i="15" s="1"/>
  <c r="C27" i="12"/>
  <c r="N10" i="3"/>
  <c r="N9" i="3"/>
  <c r="L23" i="2"/>
  <c r="O23" i="2" s="1"/>
  <c r="M10" i="2"/>
  <c r="N7" i="2"/>
  <c r="O5" i="3" s="1"/>
  <c r="K10" i="2"/>
  <c r="L15" i="3"/>
  <c r="L5" i="3"/>
  <c r="L10" i="3"/>
  <c r="N18" i="2"/>
  <c r="L13" i="3"/>
  <c r="L19" i="2"/>
  <c r="O19" i="2" s="1"/>
  <c r="N19" i="2"/>
  <c r="L12" i="3"/>
  <c r="L49" i="2"/>
  <c r="K33" i="2"/>
  <c r="L14" i="3"/>
  <c r="L8" i="3"/>
  <c r="L7" i="2"/>
  <c r="O7" i="2" s="1"/>
  <c r="P5" i="3" s="1"/>
  <c r="L14" i="2"/>
  <c r="O14" i="2" s="1"/>
  <c r="L22" i="2"/>
  <c r="O22" i="2" s="1"/>
  <c r="L16" i="3"/>
  <c r="L18" i="2"/>
  <c r="O18" i="2" s="1"/>
  <c r="P10" i="3" s="1"/>
  <c r="L16" i="2"/>
  <c r="L9" i="3"/>
  <c r="K11" i="3"/>
  <c r="K16" i="3"/>
  <c r="K9" i="3"/>
  <c r="K12" i="3"/>
  <c r="C6" i="15" l="1"/>
  <c r="P11" i="3"/>
  <c r="P16" i="3"/>
  <c r="P8" i="3"/>
  <c r="P13" i="3"/>
  <c r="O11" i="3"/>
  <c r="O14" i="3"/>
  <c r="O16" i="3"/>
  <c r="E24" i="12"/>
  <c r="E5" i="12"/>
  <c r="P14" i="3"/>
  <c r="O13" i="3"/>
  <c r="P17" i="3"/>
  <c r="D25" i="12"/>
  <c r="D3" i="15" s="1"/>
  <c r="D27" i="12"/>
  <c r="D26" i="12"/>
  <c r="M12" i="2"/>
  <c r="N6" i="3"/>
  <c r="F8" i="12"/>
  <c r="O8" i="3"/>
  <c r="L18" i="3"/>
  <c r="O10" i="3"/>
  <c r="L6" i="3"/>
  <c r="D8" i="12"/>
  <c r="O17" i="3"/>
  <c r="O9" i="3"/>
  <c r="N10" i="2"/>
  <c r="M9" i="3"/>
  <c r="O16" i="2"/>
  <c r="P9" i="3" s="1"/>
  <c r="O10" i="2"/>
  <c r="K12" i="2"/>
  <c r="M16" i="3"/>
  <c r="L33" i="2"/>
  <c r="L10" i="2"/>
  <c r="M15" i="3"/>
  <c r="M17" i="3"/>
  <c r="M5" i="3"/>
  <c r="M11" i="3"/>
  <c r="M13" i="3"/>
  <c r="M12" i="3"/>
  <c r="M14" i="3"/>
  <c r="M8" i="3"/>
  <c r="M10" i="3"/>
  <c r="O12" i="2" l="1"/>
  <c r="H8" i="12"/>
  <c r="P6" i="3"/>
  <c r="L7" i="3"/>
  <c r="D23" i="12"/>
  <c r="D10" i="12"/>
  <c r="D9" i="12"/>
  <c r="D11" i="12"/>
  <c r="D4" i="15" s="1"/>
  <c r="M20" i="2"/>
  <c r="F9" i="12"/>
  <c r="F11" i="12"/>
  <c r="F4" i="15" s="1"/>
  <c r="F23" i="12"/>
  <c r="F10" i="12"/>
  <c r="N7" i="3"/>
  <c r="L12" i="2"/>
  <c r="E8" i="12"/>
  <c r="M18" i="3"/>
  <c r="E26" i="12"/>
  <c r="E25" i="12"/>
  <c r="E3" i="15" s="1"/>
  <c r="E27" i="12"/>
  <c r="N12" i="2"/>
  <c r="O6" i="3"/>
  <c r="G8" i="12"/>
  <c r="D6" i="15"/>
  <c r="M6" i="3"/>
  <c r="M7" i="3" l="1"/>
  <c r="E9" i="12"/>
  <c r="E11" i="12"/>
  <c r="E4" i="15" s="1"/>
  <c r="E6" i="15" s="1"/>
  <c r="E23" i="12"/>
  <c r="E10" i="12"/>
  <c r="N20" i="2"/>
  <c r="G9" i="12"/>
  <c r="G11" i="12"/>
  <c r="G4" i="15" s="1"/>
  <c r="O7" i="3"/>
  <c r="G23" i="12"/>
  <c r="G10" i="12"/>
  <c r="M49" i="2"/>
  <c r="N12" i="3"/>
  <c r="O20" i="2"/>
  <c r="H23" i="12"/>
  <c r="H10" i="12"/>
  <c r="P7" i="3"/>
  <c r="H9" i="12"/>
  <c r="H11" i="12"/>
  <c r="H4" i="15" s="1"/>
  <c r="N49" i="2" l="1"/>
  <c r="O12" i="3"/>
  <c r="O49" i="2"/>
  <c r="P12" i="3"/>
  <c r="M33" i="2"/>
  <c r="F24" i="12"/>
  <c r="F5" i="12"/>
  <c r="N15" i="3"/>
  <c r="O33" i="2" l="1"/>
  <c r="H5" i="12"/>
  <c r="P15" i="3"/>
  <c r="H24" i="12"/>
  <c r="F26" i="12"/>
  <c r="F25" i="12"/>
  <c r="F3" i="15" s="1"/>
  <c r="F6" i="15" s="1"/>
  <c r="F27" i="12"/>
  <c r="N18" i="3"/>
  <c r="N33" i="2"/>
  <c r="G24" i="12"/>
  <c r="G5" i="12"/>
  <c r="O15" i="3"/>
  <c r="O18" i="3" l="1"/>
  <c r="G26" i="12"/>
  <c r="G25" i="12"/>
  <c r="G3" i="15" s="1"/>
  <c r="G6" i="15" s="1"/>
  <c r="G27" i="12"/>
  <c r="H25" i="12"/>
  <c r="H3" i="15" s="1"/>
  <c r="H6" i="15" s="1"/>
  <c r="H27" i="12"/>
  <c r="P18" i="3"/>
  <c r="H26" i="12"/>
</calcChain>
</file>

<file path=xl/sharedStrings.xml><?xml version="1.0" encoding="utf-8"?>
<sst xmlns="http://schemas.openxmlformats.org/spreadsheetml/2006/main" count="569" uniqueCount="359">
  <si>
    <t>Table of Contents</t>
  </si>
  <si>
    <t>Caesars Entertainment Corporation (CZR)</t>
  </si>
  <si>
    <t>2017 Y</t>
  </si>
  <si>
    <t>2016 Y</t>
  </si>
  <si>
    <t>2015 Y</t>
  </si>
  <si>
    <t>2014 Y</t>
  </si>
  <si>
    <t>2013 Y</t>
  </si>
  <si>
    <t>2012 Y</t>
  </si>
  <si>
    <t>2011 Y</t>
  </si>
  <si>
    <t>2010 Y</t>
  </si>
  <si>
    <t>Revenue</t>
  </si>
  <si>
    <t xml:space="preserve">    + Sales &amp; Services Revenue</t>
  </si>
  <si>
    <t xml:space="preserve">    + Other Revenue</t>
  </si>
  <si>
    <t xml:space="preserve">  - Cost of Revenue</t>
  </si>
  <si>
    <t xml:space="preserve">    + Cost of Goods &amp; Services</t>
  </si>
  <si>
    <t>Gross Profit</t>
  </si>
  <si>
    <t xml:space="preserve">  + Other Operating Income</t>
  </si>
  <si>
    <t xml:space="preserve">  - Operating Expenses</t>
  </si>
  <si>
    <t xml:space="preserve">    + Selling, General &amp; Admin</t>
  </si>
  <si>
    <t xml:space="preserve">    + General &amp; Administrative</t>
  </si>
  <si>
    <t xml:space="preserve">    + Research &amp; Development</t>
  </si>
  <si>
    <t xml:space="preserve">    + Depreciation &amp; Amortization</t>
  </si>
  <si>
    <t xml:space="preserve">    + Other Operating Expense</t>
  </si>
  <si>
    <t>Operating Income (Loss)</t>
  </si>
  <si>
    <t xml:space="preserve">  - Non-Operating (Income) Loss</t>
  </si>
  <si>
    <t/>
  </si>
  <si>
    <t xml:space="preserve">    + Interest Expense</t>
  </si>
  <si>
    <t xml:space="preserve">    + Other Non-Op (Income) Loss</t>
  </si>
  <si>
    <t xml:space="preserve">  - Income Tax Expense (Benefit), GAAP</t>
  </si>
  <si>
    <t xml:space="preserve">    + Current Income Tax (Benefit), GAAP</t>
  </si>
  <si>
    <t xml:space="preserve">    + Deferred Income Tax (Benefit), GAAP</t>
  </si>
  <si>
    <t xml:space="preserve">    + Tax Allowance/Credit, GAAP</t>
  </si>
  <si>
    <t>Income (Loss) from Cont Ops, GAAP</t>
  </si>
  <si>
    <t xml:space="preserve">  - Net Extraordinary Losses (Gains), GAAP</t>
  </si>
  <si>
    <t xml:space="preserve">    + Discontinued Operations, GAAP</t>
  </si>
  <si>
    <t xml:space="preserve">    + XO &amp; Accounting Changes, GAAP</t>
  </si>
  <si>
    <t>Income (Loss) Incl. MI, GAAP</t>
  </si>
  <si>
    <t>Net Income Avail to Common, Adj</t>
  </si>
  <si>
    <t xml:space="preserve">  Net Abnormal Losses (Gains)</t>
  </si>
  <si>
    <t xml:space="preserve">  Net Extraordinary Losses (Gains)</t>
  </si>
  <si>
    <t>Basic Weighted Avg Shares</t>
  </si>
  <si>
    <t>Basic EPS, GAAP</t>
  </si>
  <si>
    <t>Basic EPS from Cont Ops</t>
  </si>
  <si>
    <t>Basic EPS from Cont Ops, Adjusted</t>
  </si>
  <si>
    <t>Diluted Weighted Avg Shares</t>
  </si>
  <si>
    <t>Diluted EPS, GAAP</t>
  </si>
  <si>
    <t>Diluted EPS from Cont Ops</t>
  </si>
  <si>
    <t>Diluted EPS from Cont Ops, Adjusted</t>
  </si>
  <si>
    <t>Reference Items</t>
  </si>
  <si>
    <t>Accounting Standard</t>
  </si>
  <si>
    <t>EBIT</t>
  </si>
  <si>
    <t>Revenue Per Employee</t>
  </si>
  <si>
    <t>Dividends per Share</t>
  </si>
  <si>
    <t>Total Cash Common Dividends</t>
  </si>
  <si>
    <t>Depreciation Expense</t>
  </si>
  <si>
    <t>Rental Expense</t>
  </si>
  <si>
    <t>Total Assets</t>
  </si>
  <si>
    <t xml:space="preserve">  + Cash, Cash Equivalents &amp; STI</t>
  </si>
  <si>
    <t xml:space="preserve">    + ST Investments</t>
  </si>
  <si>
    <t xml:space="preserve">  + Accounts &amp; Notes Receiv</t>
  </si>
  <si>
    <t xml:space="preserve">    + Accounts Receivable, Net</t>
  </si>
  <si>
    <t xml:space="preserve">    + Notes Receivable, Net</t>
  </si>
  <si>
    <t xml:space="preserve">  + Inventories</t>
  </si>
  <si>
    <t xml:space="preserve">  + Other ST Assets</t>
  </si>
  <si>
    <t xml:space="preserve">    + Derivative &amp; Hedging Assets</t>
  </si>
  <si>
    <t xml:space="preserve">    + Assets Held-for-Sale</t>
  </si>
  <si>
    <t xml:space="preserve">    + Deferred Tax Assets</t>
  </si>
  <si>
    <t xml:space="preserve">    + Misc ST Assets</t>
  </si>
  <si>
    <t>Total Current Assets</t>
  </si>
  <si>
    <t xml:space="preserve">    + Property, Plant &amp; Equip</t>
  </si>
  <si>
    <t xml:space="preserve">    - Accumulated Depreciation</t>
  </si>
  <si>
    <t xml:space="preserve">  + Other LT Assets</t>
  </si>
  <si>
    <t>Total Noncurrent Assets</t>
  </si>
  <si>
    <t>Liabilities &amp; Shareholders' Equity</t>
  </si>
  <si>
    <t xml:space="preserve">  + Payables &amp; Accruals</t>
  </si>
  <si>
    <t xml:space="preserve">  + ST Debt</t>
  </si>
  <si>
    <t>Total Current Liabilities</t>
  </si>
  <si>
    <t xml:space="preserve">  + LT Debt</t>
  </si>
  <si>
    <t xml:space="preserve">  + Other LT Liabilities</t>
  </si>
  <si>
    <t>Total Noncurrent Liabilities</t>
  </si>
  <si>
    <t>Total Liabilities</t>
  </si>
  <si>
    <t xml:space="preserve">    + Common Stock</t>
  </si>
  <si>
    <t xml:space="preserve">    + Additional Paid in Capital</t>
  </si>
  <si>
    <t xml:space="preserve">  - Treasury Stock</t>
  </si>
  <si>
    <t xml:space="preserve">  + Retained Earnings</t>
  </si>
  <si>
    <t xml:space="preserve">  + Other Equity</t>
  </si>
  <si>
    <t xml:space="preserve">  + Minority Interest</t>
  </si>
  <si>
    <t>Total Equity</t>
  </si>
  <si>
    <t>Total Liabilities &amp; Equity</t>
  </si>
  <si>
    <t>Shares Outstanding</t>
  </si>
  <si>
    <t>Number of Treasury Shares</t>
  </si>
  <si>
    <t>Pension Obligations</t>
  </si>
  <si>
    <t>Future Minimum Operating Lease Obligations</t>
  </si>
  <si>
    <t>Capital Leases - Total</t>
  </si>
  <si>
    <t>Options Granted During Period</t>
  </si>
  <si>
    <t>Options Outstanding at Period End</t>
  </si>
  <si>
    <t>Net Debt</t>
  </si>
  <si>
    <t>Net Debt to Equity</t>
  </si>
  <si>
    <t>Tangible Common Equity Ratio</t>
  </si>
  <si>
    <t>Current Ratio</t>
  </si>
  <si>
    <t>Cash Conversion Cycle</t>
  </si>
  <si>
    <t>Number of Employees</t>
  </si>
  <si>
    <t>Returns</t>
  </si>
  <si>
    <t xml:space="preserve">  Return on Common Equity</t>
  </si>
  <si>
    <t xml:space="preserve">  Return on Assets</t>
  </si>
  <si>
    <t xml:space="preserve">  Return on Capital</t>
  </si>
  <si>
    <t xml:space="preserve">  Return on Invested Capital</t>
  </si>
  <si>
    <t>Margins</t>
  </si>
  <si>
    <t xml:space="preserve">  Gross Margin</t>
  </si>
  <si>
    <t xml:space="preserve">  EBITDA Margin</t>
  </si>
  <si>
    <t xml:space="preserve">  Operating Margin</t>
  </si>
  <si>
    <t xml:space="preserve">  Incremental Operating Margin</t>
  </si>
  <si>
    <t xml:space="preserve">  Pretax Margin</t>
  </si>
  <si>
    <t xml:space="preserve">  Income before XO Margin</t>
  </si>
  <si>
    <t xml:space="preserve">  Net Income Margin</t>
  </si>
  <si>
    <t xml:space="preserve">  Net Income to Common Margin</t>
  </si>
  <si>
    <t>Gaming</t>
  </si>
  <si>
    <t>FY 2018 Est</t>
  </si>
  <si>
    <t>FY 2019 Est</t>
  </si>
  <si>
    <t>12/31/2018</t>
  </si>
  <si>
    <t>12/31/2019</t>
  </si>
  <si>
    <t>Forecasted w/o Project</t>
  </si>
  <si>
    <t>Cost of Revenue</t>
  </si>
  <si>
    <t>Interest Expense</t>
  </si>
  <si>
    <t>Income Tax Expense</t>
  </si>
  <si>
    <t>Net Income</t>
  </si>
  <si>
    <t>Operating Expenses</t>
  </si>
  <si>
    <t>General &amp; Administrative</t>
  </si>
  <si>
    <t xml:space="preserve"> Depreciation &amp; Amortization</t>
  </si>
  <si>
    <t>Other Operating Expense</t>
  </si>
  <si>
    <t>Non-Operating (Income) Loss</t>
  </si>
  <si>
    <t>Other Non-Op (Income) Loss</t>
  </si>
  <si>
    <t>12/31/2020</t>
  </si>
  <si>
    <t>FY 2020 Est</t>
  </si>
  <si>
    <t>Tax Rate</t>
  </si>
  <si>
    <t>Assets</t>
  </si>
  <si>
    <t>Current Assets</t>
  </si>
  <si>
    <t>Cash and Cash Equivalents</t>
  </si>
  <si>
    <t>Net Receiveables</t>
  </si>
  <si>
    <t>Other Current Assets</t>
  </si>
  <si>
    <t>Property Plant and Equipment</t>
  </si>
  <si>
    <t>Depreciation</t>
  </si>
  <si>
    <t>Other Assets</t>
  </si>
  <si>
    <t>Liablities and Stockholders Equity</t>
  </si>
  <si>
    <t>Liabilites</t>
  </si>
  <si>
    <t>Current Liabilities</t>
  </si>
  <si>
    <t>Accounts Payable</t>
  </si>
  <si>
    <t>Short/Current Long Term Debt</t>
  </si>
  <si>
    <t>Long Term Debt</t>
  </si>
  <si>
    <t>Other Liabilities</t>
  </si>
  <si>
    <t>Stockholders Equity</t>
  </si>
  <si>
    <t>Retained Earnings</t>
  </si>
  <si>
    <t>Treasury Stock</t>
  </si>
  <si>
    <t>Other Stockholder Equity</t>
  </si>
  <si>
    <t>Total Stockholder Equity</t>
  </si>
  <si>
    <t>Total Liabilities and Stockholders Equity</t>
  </si>
  <si>
    <t>For The Years 2010 through 2017</t>
  </si>
  <si>
    <t>Shares</t>
  </si>
  <si>
    <t>Price Per Share</t>
  </si>
  <si>
    <t>Market Value of equity</t>
  </si>
  <si>
    <t>Total Debt</t>
  </si>
  <si>
    <t>Cost of Equity</t>
  </si>
  <si>
    <t>Cost of Debt</t>
  </si>
  <si>
    <t>WACC</t>
  </si>
  <si>
    <t>Weights</t>
  </si>
  <si>
    <t>Current</t>
  </si>
  <si>
    <t>New</t>
  </si>
  <si>
    <t>Market Cap (in thousands as of 4/20/18)</t>
  </si>
  <si>
    <t>Book Value of Debt</t>
  </si>
  <si>
    <t>Weight of Equity</t>
  </si>
  <si>
    <t>Weight of Debt</t>
  </si>
  <si>
    <t>Risk Free Rate (Based on 10-yr us govt bonds)</t>
  </si>
  <si>
    <t>Beta (from Bloomberg)</t>
  </si>
  <si>
    <t>Market Premium</t>
  </si>
  <si>
    <t>Cost of Debt Calculation (Interest Expense over Book Value of Debt)</t>
  </si>
  <si>
    <t>Tax Rate (Average of past two years)</t>
  </si>
  <si>
    <t>WACC CALCULATION</t>
  </si>
  <si>
    <t>WE*CoE + WD*CoD*(1-TaxR)</t>
  </si>
  <si>
    <t>Forecasted w/ Project</t>
  </si>
  <si>
    <t>Liquidity Ratios</t>
  </si>
  <si>
    <t>Quick Ratio</t>
  </si>
  <si>
    <t>Interest Coverage Ratio</t>
  </si>
  <si>
    <t>Asset Utilization Ratios</t>
  </si>
  <si>
    <t>Inventory Turnover</t>
  </si>
  <si>
    <t>Receivables Turnover</t>
  </si>
  <si>
    <t>Fixed Asset Turnover</t>
  </si>
  <si>
    <t>Total Asset Turnover</t>
  </si>
  <si>
    <t>Leverage Ratios</t>
  </si>
  <si>
    <t>Total Debt Ratio</t>
  </si>
  <si>
    <t>Total Equity Ratio</t>
  </si>
  <si>
    <t>Debt-Equity Ratio</t>
  </si>
  <si>
    <t>Equity Multiplier</t>
  </si>
  <si>
    <t>Long-Term Debt Ratio</t>
  </si>
  <si>
    <t>Long Term Debt to Capital Ratio</t>
  </si>
  <si>
    <t>Long-Term Debt to Equity Ratio</t>
  </si>
  <si>
    <t>Profitability Ratios</t>
  </si>
  <si>
    <t>Gross Profit Margin</t>
  </si>
  <si>
    <t>Operating Profit Margin</t>
  </si>
  <si>
    <t>Net Profit Margin</t>
  </si>
  <si>
    <t>ROA</t>
  </si>
  <si>
    <t>ROE</t>
  </si>
  <si>
    <t>All Properties</t>
  </si>
  <si>
    <t>Average Casino Floor Space</t>
  </si>
  <si>
    <t>Average Slot Machines</t>
  </si>
  <si>
    <t>Average Table Games</t>
  </si>
  <si>
    <t>Average Hotel Rooms</t>
  </si>
  <si>
    <t>Las Vegas</t>
  </si>
  <si>
    <t>Property</t>
  </si>
  <si>
    <t>Location</t>
  </si>
  <si>
    <t>Casino Floor Sq. Ft.</t>
  </si>
  <si>
    <t>Slot Machines</t>
  </si>
  <si>
    <t>Table Games</t>
  </si>
  <si>
    <t>Hotel Rooms and Suites</t>
  </si>
  <si>
    <t>Adj. Cost to Build</t>
  </si>
  <si>
    <t>Golden Nugget</t>
  </si>
  <si>
    <t>AC</t>
  </si>
  <si>
    <t>760 mil</t>
  </si>
  <si>
    <t>Ocean Resorts</t>
  </si>
  <si>
    <t>2.6bil</t>
  </si>
  <si>
    <t>Tropicana</t>
  </si>
  <si>
    <t>500 mil</t>
  </si>
  <si>
    <t>Hardrock</t>
  </si>
  <si>
    <t>1.2bil</t>
  </si>
  <si>
    <t>Las Vegas Segment</t>
  </si>
  <si>
    <t>Owned-Domestic</t>
  </si>
  <si>
    <t>Bally’s Las Vegas</t>
  </si>
  <si>
    <t>Las Vegas, NV</t>
  </si>
  <si>
    <t>The Cromwell</t>
  </si>
  <si>
    <t>Flamingo Las Vegas</t>
  </si>
  <si>
    <t>The LINQ Hotel &amp; Casino</t>
  </si>
  <si>
    <t>Paris Las Vegas</t>
  </si>
  <si>
    <t>Planet Hollywood Resort &amp; Casino</t>
  </si>
  <si>
    <t>Rio All-Suites Hotel &amp; Casino</t>
  </si>
  <si>
    <t>Leased from VICI Properties Inc.</t>
  </si>
  <si>
    <t>Caesars Palace Las Vegas</t>
  </si>
  <si>
    <t>Harrah’s Las Vegas</t>
  </si>
  <si>
    <t>Other U.S. Segment</t>
  </si>
  <si>
    <t>Harrah’s Atlantic City</t>
  </si>
  <si>
    <t>Atlantic City, NJ</t>
  </si>
  <si>
    <t>Harrah’s Laughlin</t>
  </si>
  <si>
    <t>Laughlin, NV</t>
  </si>
  <si>
    <t>Harrah’s New Orleans</t>
  </si>
  <si>
    <t>New Orleans, LA</t>
  </si>
  <si>
    <t>Harrah’s Philadelphia</t>
  </si>
  <si>
    <t>Chester, PA</t>
  </si>
  <si>
    <t>Bally’s Atlantic City</t>
  </si>
  <si>
    <t>Caesars Atlantic City</t>
  </si>
  <si>
    <t>Harrah’s Council Bluffs</t>
  </si>
  <si>
    <t>Council Bluffs, IA</t>
  </si>
  <si>
    <t>Harrah’s Gulf Coast</t>
  </si>
  <si>
    <t>Biloxi, MS</t>
  </si>
  <si>
    <t>Harrah’s Joliet</t>
  </si>
  <si>
    <t>Joliet, IL</t>
  </si>
  <si>
    <t>Harrah’s Lake Tahoe</t>
  </si>
  <si>
    <t>Lake Tahoe, NV</t>
  </si>
  <si>
    <t>Harrah’s Louisiana Downs</t>
  </si>
  <si>
    <t>Bossier City, LA</t>
  </si>
  <si>
    <t>Harrah’s Metropolis</t>
  </si>
  <si>
    <t>Metropolis, IL</t>
  </si>
  <si>
    <t>Harrah’s North Kansas City</t>
  </si>
  <si>
    <t>N. Kansas City, MO</t>
  </si>
  <si>
    <t>Harrah’s Reno</t>
  </si>
  <si>
    <t>Reno, NV</t>
  </si>
  <si>
    <t>Harveys Lake Tahoe</t>
  </si>
  <si>
    <t>Horseshoe Bossier City</t>
  </si>
  <si>
    <t>Horseshoe Council Bluffs</t>
  </si>
  <si>
    <t>Horseshoe Hammond</t>
  </si>
  <si>
    <t>Hammond, IN</t>
  </si>
  <si>
    <t>Horseshoe Southern Indiana</t>
  </si>
  <si>
    <t>Elizabeth, IN</t>
  </si>
  <si>
    <t>Horseshoe Tunica</t>
  </si>
  <si>
    <t>Tunica, MS</t>
  </si>
  <si>
    <t>Tunica Roadhouse</t>
  </si>
  <si>
    <t>Alea Glasgow</t>
  </si>
  <si>
    <t>United Kingdom</t>
  </si>
  <si>
    <t>Alea Nottingham</t>
  </si>
  <si>
    <t>The Casino at the Empire</t>
  </si>
  <si>
    <t>Emerald Safari</t>
  </si>
  <si>
    <t>South Africa</t>
  </si>
  <si>
    <t>Manchester235</t>
  </si>
  <si>
    <t>Playboy Club London</t>
  </si>
  <si>
    <t>Rendezvous Brighton</t>
  </si>
  <si>
    <t>Rendezvous Southend-on-Sea</t>
  </si>
  <si>
    <t>The Sportsman</t>
  </si>
  <si>
    <t>Managed</t>
  </si>
  <si>
    <t>Caesars Cairo</t>
  </si>
  <si>
    <t>Egypt</t>
  </si>
  <si>
    <t>Caesars Windsor</t>
  </si>
  <si>
    <t>Ontario, Canada</t>
  </si>
  <si>
    <t>Harrah’s Ak-Chin</t>
  </si>
  <si>
    <t>Phoenix, AZ</t>
  </si>
  <si>
    <t>Harrah’s Cherokee</t>
  </si>
  <si>
    <t>Cherokee, NC</t>
  </si>
  <si>
    <t>Harrah’s Cherokee Valley River</t>
  </si>
  <si>
    <t>Murphy, NC</t>
  </si>
  <si>
    <t>Harrah’s Resort Southern California</t>
  </si>
  <si>
    <t>San Diego, CA</t>
  </si>
  <si>
    <t>Horseshoe Baltimore (1)</t>
  </si>
  <si>
    <t>Baltimore, MD</t>
  </si>
  <si>
    <t>The London Clubs Cairo-Ramses</t>
  </si>
  <si>
    <t>New Casino in Las Vegas</t>
  </si>
  <si>
    <t>New Casino</t>
  </si>
  <si>
    <t>Hotel Rooms</t>
  </si>
  <si>
    <t>Cosmopolotain</t>
  </si>
  <si>
    <t>3.9bil</t>
  </si>
  <si>
    <t>Avg Room Rate</t>
  </si>
  <si>
    <t>Rooms</t>
  </si>
  <si>
    <t>Food</t>
  </si>
  <si>
    <t>Beverage</t>
  </si>
  <si>
    <t>Other</t>
  </si>
  <si>
    <t>Total Revenue</t>
  </si>
  <si>
    <t>Average Rev Per Hotel Room Per Year</t>
  </si>
  <si>
    <t>Average Rev Per SqFt Per Year</t>
  </si>
  <si>
    <t>Avg Gaming Rev per Sq Ft</t>
  </si>
  <si>
    <t>Casino Floor Space (Sq Ft)</t>
  </si>
  <si>
    <t>Avg Other Rev</t>
  </si>
  <si>
    <t>Avg Rev per Hotel Room</t>
  </si>
  <si>
    <t>AVG</t>
  </si>
  <si>
    <t>Total</t>
  </si>
  <si>
    <t>Percent Occupied</t>
  </si>
  <si>
    <t>Cost to Build</t>
  </si>
  <si>
    <t>Invesment in Land</t>
  </si>
  <si>
    <t>Salvage Value of Land</t>
  </si>
  <si>
    <t>Life of Project</t>
  </si>
  <si>
    <t>(In Millions)</t>
  </si>
  <si>
    <t>Building</t>
  </si>
  <si>
    <t>Salvage Value of Building</t>
  </si>
  <si>
    <t>Avg Depreciation percent</t>
  </si>
  <si>
    <t>Years</t>
  </si>
  <si>
    <t>Reinvest</t>
  </si>
  <si>
    <t>Initial Outlay</t>
  </si>
  <si>
    <t>Annual Change in After Tax CF</t>
  </si>
  <si>
    <t>Terminal Cash Flow</t>
  </si>
  <si>
    <t>Payback Period</t>
  </si>
  <si>
    <t>Discounted Payback</t>
  </si>
  <si>
    <t>NPV</t>
  </si>
  <si>
    <t>Profitability Index</t>
  </si>
  <si>
    <t>IRR</t>
  </si>
  <si>
    <t>MIRR</t>
  </si>
  <si>
    <t>Actual Sale of P&amp;E</t>
  </si>
  <si>
    <t>Actual Sale of Land</t>
  </si>
  <si>
    <t>CF</t>
  </si>
  <si>
    <t>Year 0</t>
  </si>
  <si>
    <t>Total NPV</t>
  </si>
  <si>
    <t>Source</t>
  </si>
  <si>
    <t>Price</t>
  </si>
  <si>
    <t>Units</t>
  </si>
  <si>
    <t>Total Market Value</t>
  </si>
  <si>
    <t>After-tax Cost</t>
  </si>
  <si>
    <t>Before Tax or Float</t>
  </si>
  <si>
    <t>With Float</t>
  </si>
  <si>
    <t>After Tax</t>
  </si>
  <si>
    <t>Debt</t>
  </si>
  <si>
    <t>Bond Data</t>
  </si>
  <si>
    <t>Coupon Rate</t>
  </si>
  <si>
    <t>Face Value</t>
  </si>
  <si>
    <t>Maturity</t>
  </si>
  <si>
    <t xml:space="preserve">Flotation 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</si>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</sst>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&quot;$&quot;* #,##0_);_(&quot;$&quot;* \(#,##0\);_(&quot;$&quot;* &quot;-&quot;??_);_(@_)"/>
    <numFmt numFmtId="167" formatCode="0.0%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Alignment="0" applyProtection="0"/>
    <xf numFmtId="0" fontId="4" fillId="0" borderId="5" applyNumberFormat="0" applyFill="0" applyAlignment="0" applyProtection="0"/>
    <xf numFmtId="0" fontId="7" fillId="5" borderId="4">
      <alignment horizontal="right"/>
    </xf>
    <xf numFmtId="0" fontId="9" fillId="7" borderId="8" applyNumberFormat="0" applyAlignment="0" applyProtection="0"/>
    <xf numFmtId="0" fontId="10" fillId="8" borderId="9" applyNumberFormat="0" applyAlignment="0" applyProtection="0"/>
    <xf numFmtId="0" fontId="11" fillId="8" borderId="8" applyNumberFormat="0" applyAlignment="0" applyProtection="0"/>
  </cellStyleXfs>
  <cellXfs count="162"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ont="1"/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0" fontId="2" fillId="3" borderId="1" xfId="4" applyFill="1"/>
    <xf numFmtId="14" fontId="2" fillId="3" borderId="1" xfId="4" applyNumberFormat="1" applyFill="1"/>
    <xf numFmtId="164" fontId="5" fillId="0" borderId="0" xfId="0" applyNumberFormat="1" applyFont="1"/>
    <xf numFmtId="0" fontId="6" fillId="3" borderId="0" xfId="0" applyFont="1" applyFill="1"/>
    <xf numFmtId="164" fontId="0" fillId="3" borderId="0" xfId="0" applyNumberFormat="1" applyFill="1"/>
    <xf numFmtId="0" fontId="5" fillId="3" borderId="0" xfId="0" applyFont="1" applyFill="1"/>
    <xf numFmtId="164" fontId="5" fillId="3" borderId="0" xfId="0" applyNumberFormat="1" applyFont="1" applyFill="1"/>
    <xf numFmtId="0" fontId="0" fillId="0" borderId="0" xfId="0" applyFont="1" applyFill="1"/>
    <xf numFmtId="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4" fillId="4" borderId="5" xfId="6" applyFill="1"/>
    <xf numFmtId="165" fontId="5" fillId="4" borderId="0" xfId="0" applyNumberFormat="1" applyFont="1" applyFill="1"/>
    <xf numFmtId="10" fontId="0" fillId="0" borderId="0" xfId="3" applyNumberFormat="1" applyFont="1"/>
    <xf numFmtId="0" fontId="5" fillId="0" borderId="0" xfId="0" applyFont="1" applyAlignment="1">
      <alignment horizontal="left" indent="1"/>
    </xf>
    <xf numFmtId="9" fontId="0" fillId="0" borderId="0" xfId="3" applyFont="1"/>
    <xf numFmtId="0" fontId="5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8" fillId="6" borderId="0" xfId="0" applyFont="1" applyFill="1" applyBorder="1" applyAlignment="1">
      <alignment horizontal="left"/>
    </xf>
    <xf numFmtId="10" fontId="1" fillId="4" borderId="0" xfId="3" applyNumberFormat="1" applyFont="1" applyFill="1" applyBorder="1"/>
    <xf numFmtId="10" fontId="1" fillId="4" borderId="3" xfId="3" applyNumberFormat="1" applyFont="1" applyFill="1" applyBorder="1"/>
    <xf numFmtId="10" fontId="5" fillId="4" borderId="0" xfId="3" applyNumberFormat="1" applyFont="1" applyFill="1" applyBorder="1"/>
    <xf numFmtId="10" fontId="1" fillId="4" borderId="6" xfId="3" applyNumberFormat="1" applyFont="1" applyFill="1" applyBorder="1"/>
    <xf numFmtId="10" fontId="5" fillId="4" borderId="0" xfId="3" applyNumberFormat="1" applyFont="1" applyFill="1"/>
    <xf numFmtId="0" fontId="8" fillId="2" borderId="7" xfId="0" applyFont="1" applyFill="1" applyBorder="1"/>
    <xf numFmtId="0" fontId="8" fillId="2" borderId="7" xfId="0" applyFont="1" applyFill="1" applyBorder="1" applyAlignment="1">
      <alignment horizontal="left"/>
    </xf>
    <xf numFmtId="10" fontId="1" fillId="3" borderId="0" xfId="3" applyNumberFormat="1" applyFont="1" applyFill="1" applyBorder="1"/>
    <xf numFmtId="10" fontId="1" fillId="3" borderId="3" xfId="3" applyNumberFormat="1" applyFont="1" applyFill="1" applyBorder="1"/>
    <xf numFmtId="10" fontId="5" fillId="3" borderId="0" xfId="3" applyNumberFormat="1" applyFont="1" applyFill="1" applyBorder="1"/>
    <xf numFmtId="10" fontId="1" fillId="3" borderId="6" xfId="3" applyNumberFormat="1" applyFont="1" applyFill="1" applyBorder="1"/>
    <xf numFmtId="10" fontId="5" fillId="3" borderId="0" xfId="3" applyNumberFormat="1" applyFont="1" applyFill="1"/>
    <xf numFmtId="2" fontId="0" fillId="0" borderId="0" xfId="0" applyNumberFormat="1"/>
    <xf numFmtId="0" fontId="8" fillId="0" borderId="0" xfId="0" applyFont="1"/>
    <xf numFmtId="0" fontId="5" fillId="0" borderId="0" xfId="0" applyFont="1" applyAlignment="1">
      <alignment horizontal="left" indent="2"/>
    </xf>
    <xf numFmtId="44" fontId="0" fillId="0" borderId="0" xfId="2" applyFont="1"/>
    <xf numFmtId="0" fontId="5" fillId="0" borderId="6" xfId="0" applyFont="1" applyBorder="1"/>
    <xf numFmtId="0" fontId="0" fillId="0" borderId="6" xfId="0" applyBorder="1"/>
    <xf numFmtId="10" fontId="0" fillId="3" borderId="0" xfId="0" applyNumberFormat="1" applyFill="1"/>
    <xf numFmtId="10" fontId="0" fillId="3" borderId="0" xfId="3" applyNumberFormat="1" applyFont="1" applyFill="1"/>
    <xf numFmtId="10" fontId="0" fillId="3" borderId="6" xfId="3" applyNumberFormat="1" applyFont="1" applyFill="1" applyBorder="1"/>
    <xf numFmtId="10" fontId="0" fillId="3" borderId="7" xfId="3" applyNumberFormat="1" applyFont="1" applyFill="1" applyBorder="1"/>
    <xf numFmtId="10" fontId="5" fillId="3" borderId="6" xfId="3" applyNumberFormat="1" applyFont="1" applyFill="1" applyBorder="1"/>
    <xf numFmtId="9" fontId="0" fillId="0" borderId="0" xfId="0" applyNumberFormat="1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12" fillId="0" borderId="0" xfId="0" applyFont="1"/>
    <xf numFmtId="166" fontId="9" fillId="7" borderId="8" xfId="8" applyNumberFormat="1"/>
    <xf numFmtId="166" fontId="11" fillId="8" borderId="8" xfId="10" applyNumberFormat="1"/>
    <xf numFmtId="10" fontId="9" fillId="7" borderId="8" xfId="8" applyNumberFormat="1"/>
    <xf numFmtId="0" fontId="9" fillId="7" borderId="8" xfId="8"/>
    <xf numFmtId="10" fontId="11" fillId="8" borderId="8" xfId="10" applyNumberFormat="1"/>
    <xf numFmtId="10" fontId="10" fillId="8" borderId="9" xfId="9" applyNumberFormat="1"/>
    <xf numFmtId="0" fontId="11" fillId="8" borderId="8" xfId="10" applyNumberFormat="1"/>
    <xf numFmtId="44" fontId="11" fillId="8" borderId="8" xfId="10" applyNumberFormat="1"/>
    <xf numFmtId="10" fontId="11" fillId="8" borderId="8" xfId="3" applyNumberFormat="1" applyFont="1" applyFill="1" applyBorder="1"/>
    <xf numFmtId="2" fontId="0" fillId="4" borderId="0" xfId="0" applyNumberFormat="1" applyFill="1"/>
    <xf numFmtId="1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4" fontId="0" fillId="0" borderId="0" xfId="0" applyNumberFormat="1" applyFill="1"/>
    <xf numFmtId="167" fontId="10" fillId="8" borderId="9" xfId="9" applyNumberFormat="1"/>
    <xf numFmtId="3" fontId="0" fillId="0" borderId="0" xfId="0" applyNumberFormat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6" fontId="0" fillId="0" borderId="0" xfId="2" applyNumberFormat="1" applyFont="1"/>
    <xf numFmtId="166" fontId="0" fillId="0" borderId="0" xfId="0" applyNumberFormat="1"/>
    <xf numFmtId="0" fontId="0" fillId="0" borderId="0" xfId="0" applyAlignment="1">
      <alignment horizontal="right"/>
    </xf>
    <xf numFmtId="166" fontId="10" fillId="8" borderId="9" xfId="9" applyNumberFormat="1"/>
    <xf numFmtId="0" fontId="13" fillId="0" borderId="0" xfId="0" applyFont="1"/>
    <xf numFmtId="166" fontId="13" fillId="0" borderId="0" xfId="0" applyNumberFormat="1" applyFont="1"/>
    <xf numFmtId="166" fontId="13" fillId="0" borderId="0" xfId="0" applyNumberFormat="1" applyFont="1" applyFill="1" applyBorder="1"/>
    <xf numFmtId="0" fontId="13" fillId="0" borderId="0" xfId="0" applyFont="1" applyFill="1" applyBorder="1"/>
    <xf numFmtId="10" fontId="13" fillId="0" borderId="0" xfId="10" applyNumberFormat="1" applyFont="1" applyFill="1" applyBorder="1"/>
    <xf numFmtId="166" fontId="13" fillId="0" borderId="0" xfId="10" applyNumberFormat="1" applyFont="1" applyFill="1" applyBorder="1"/>
    <xf numFmtId="2" fontId="13" fillId="0" borderId="0" xfId="9" applyNumberFormat="1" applyFont="1" applyFill="1" applyBorder="1"/>
    <xf numFmtId="166" fontId="13" fillId="0" borderId="0" xfId="9" applyNumberFormat="1" applyFont="1" applyFill="1" applyBorder="1"/>
    <xf numFmtId="43" fontId="13" fillId="0" borderId="0" xfId="9" applyNumberFormat="1" applyFont="1" applyFill="1" applyBorder="1"/>
    <xf numFmtId="10" fontId="13" fillId="0" borderId="0" xfId="9" applyNumberFormat="1" applyFont="1" applyFill="1" applyBorder="1"/>
    <xf numFmtId="0" fontId="4" fillId="9" borderId="5" xfId="6" applyFill="1"/>
    <xf numFmtId="166" fontId="5" fillId="0" borderId="0" xfId="0" applyNumberFormat="1" applyFont="1" applyAlignment="1">
      <alignment horizontal="right"/>
    </xf>
    <xf numFmtId="2" fontId="13" fillId="0" borderId="0" xfId="3" applyNumberFormat="1" applyFont="1" applyFill="1" applyBorder="1"/>
    <xf numFmtId="164" fontId="5" fillId="3" borderId="10" xfId="0" applyNumberFormat="1" applyFont="1" applyFill="1" applyBorder="1"/>
    <xf numFmtId="165" fontId="5" fillId="4" borderId="10" xfId="0" applyNumberFormat="1" applyFont="1" applyFill="1" applyBorder="1"/>
    <xf numFmtId="0" fontId="0" fillId="0" borderId="0" xfId="0"/>
    <xf numFmtId="0" fontId="14" fillId="0" borderId="7" xfId="0" applyFont="1" applyBorder="1"/>
    <xf numFmtId="0" fontId="14" fillId="0" borderId="0" xfId="0" applyFont="1" applyBorder="1"/>
    <xf numFmtId="0" fontId="14" fillId="0" borderId="0" xfId="0" applyFont="1"/>
    <xf numFmtId="8" fontId="0" fillId="0" borderId="0" xfId="0" applyNumberFormat="1"/>
    <xf numFmtId="43" fontId="0" fillId="0" borderId="0" xfId="1" applyFont="1"/>
    <xf numFmtId="6" fontId="0" fillId="0" borderId="0" xfId="0" applyNumberFormat="1"/>
    <xf numFmtId="44" fontId="0" fillId="0" borderId="0" xfId="0" applyNumberFormat="1" applyBorder="1"/>
    <xf numFmtId="9" fontId="0" fillId="10" borderId="11" xfId="0" applyNumberFormat="1" applyFill="1" applyBorder="1"/>
    <xf numFmtId="0" fontId="0" fillId="0" borderId="0" xfId="0" applyFill="1" applyBorder="1"/>
    <xf numFmtId="6" fontId="0" fillId="10" borderId="11" xfId="0" applyNumberFormat="1" applyFill="1" applyBorder="1"/>
    <xf numFmtId="0" fontId="0" fillId="10" borderId="11" xfId="0" applyFill="1" applyBorder="1"/>
    <xf numFmtId="10" fontId="0" fillId="11" borderId="11" xfId="0" applyNumberFormat="1" applyFill="1" applyBorder="1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12" borderId="0" xfId="3" applyNumberFormat="1" applyFont="1" applyFill="1" applyBorder="1"/>
    <xf numFmtId="10" fontId="1" fillId="12" borderId="3" xfId="3" applyNumberFormat="1" applyFont="1" applyFill="1" applyBorder="1"/>
    <xf numFmtId="10" fontId="5" fillId="12" borderId="0" xfId="3" applyNumberFormat="1" applyFont="1" applyFill="1" applyBorder="1"/>
    <xf numFmtId="10" fontId="1" fillId="12" borderId="6" xfId="3" applyNumberFormat="1" applyFont="1" applyFill="1" applyBorder="1"/>
    <xf numFmtId="10" fontId="5" fillId="12" borderId="0" xfId="3" applyNumberFormat="1" applyFont="1" applyFill="1"/>
    <xf numFmtId="0" fontId="8" fillId="9" borderId="0" xfId="0" applyFont="1" applyFill="1" applyBorder="1" applyAlignment="1">
      <alignment horizontal="left"/>
    </xf>
    <xf numFmtId="44" fontId="0" fillId="12" borderId="0" xfId="0" applyNumberFormat="1" applyFill="1"/>
    <xf numFmtId="0" fontId="0" fillId="12" borderId="0" xfId="0" applyFill="1"/>
    <xf numFmtId="165" fontId="5" fillId="12" borderId="0" xfId="0" applyNumberFormat="1" applyFont="1" applyFill="1"/>
    <xf numFmtId="165" fontId="5" fillId="12" borderId="10" xfId="0" applyNumberFormat="1" applyFont="1" applyFill="1" applyBorder="1"/>
    <xf numFmtId="165" fontId="0" fillId="12" borderId="0" xfId="0" applyNumberFormat="1" applyFill="1"/>
    <xf numFmtId="168" fontId="0" fillId="12" borderId="0" xfId="0" applyNumberFormat="1" applyFill="1"/>
    <xf numFmtId="165" fontId="0" fillId="12" borderId="10" xfId="0" applyNumberFormat="1" applyFill="1" applyBorder="1"/>
    <xf numFmtId="168" fontId="0" fillId="12" borderId="10" xfId="0" applyNumberFormat="1" applyFill="1" applyBorder="1"/>
    <xf numFmtId="44" fontId="5" fillId="0" borderId="0" xfId="2" applyFont="1"/>
    <xf numFmtId="44" fontId="0" fillId="0" borderId="0" xfId="2" applyFont="1" applyBorder="1"/>
    <xf numFmtId="44" fontId="5" fillId="0" borderId="6" xfId="2" applyFont="1" applyBorder="1"/>
    <xf numFmtId="44" fontId="0" fillId="3" borderId="0" xfId="2" applyFont="1" applyFill="1"/>
    <xf numFmtId="44" fontId="0" fillId="0" borderId="6" xfId="2" applyFont="1" applyBorder="1"/>
    <xf numFmtId="44" fontId="0" fillId="4" borderId="0" xfId="2" applyFont="1" applyFill="1"/>
    <xf numFmtId="44" fontId="0" fillId="12" borderId="0" xfId="2" applyFont="1" applyFill="1"/>
    <xf numFmtId="44" fontId="5" fillId="4" borderId="0" xfId="2" applyFont="1" applyFill="1"/>
    <xf numFmtId="44" fontId="5" fillId="12" borderId="0" xfId="2" applyFont="1" applyFill="1"/>
    <xf numFmtId="44" fontId="5" fillId="4" borderId="6" xfId="2" applyFont="1" applyFill="1" applyBorder="1"/>
    <xf numFmtId="44" fontId="5" fillId="12" borderId="6" xfId="2" applyFont="1" applyFill="1" applyBorder="1"/>
    <xf numFmtId="44" fontId="0" fillId="4" borderId="6" xfId="2" applyFont="1" applyFill="1" applyBorder="1"/>
    <xf numFmtId="44" fontId="0" fillId="12" borderId="6" xfId="2" applyFont="1" applyFill="1" applyBorder="1"/>
    <xf numFmtId="10" fontId="0" fillId="4" borderId="0" xfId="0" applyNumberFormat="1" applyFill="1"/>
    <xf numFmtId="10" fontId="0" fillId="4" borderId="0" xfId="3" applyNumberFormat="1" applyFont="1" applyFill="1"/>
    <xf numFmtId="10" fontId="0" fillId="4" borderId="7" xfId="3" applyNumberFormat="1" applyFont="1" applyFill="1" applyBorder="1"/>
    <xf numFmtId="10" fontId="0" fillId="4" borderId="6" xfId="3" applyNumberFormat="1" applyFont="1" applyFill="1" applyBorder="1"/>
    <xf numFmtId="10" fontId="5" fillId="4" borderId="6" xfId="3" applyNumberFormat="1" applyFont="1" applyFill="1" applyBorder="1"/>
    <xf numFmtId="10" fontId="0" fillId="12" borderId="0" xfId="0" applyNumberFormat="1" applyFill="1"/>
    <xf numFmtId="10" fontId="0" fillId="12" borderId="0" xfId="3" applyNumberFormat="1" applyFont="1" applyFill="1"/>
    <xf numFmtId="10" fontId="0" fillId="12" borderId="7" xfId="3" applyNumberFormat="1" applyFont="1" applyFill="1" applyBorder="1"/>
    <xf numFmtId="10" fontId="0" fillId="12" borderId="6" xfId="3" applyNumberFormat="1" applyFont="1" applyFill="1" applyBorder="1"/>
    <xf numFmtId="10" fontId="5" fillId="12" borderId="6" xfId="3" applyNumberFormat="1" applyFont="1" applyFill="1" applyBorder="1"/>
    <xf numFmtId="0" fontId="5" fillId="13" borderId="0" xfId="3" applyNumberFormat="1" applyFont="1" applyFill="1" applyAlignment="1">
      <alignment horizontal="center"/>
    </xf>
    <xf numFmtId="0" fontId="5" fillId="9" borderId="0" xfId="3" applyNumberFormat="1" applyFont="1" applyFill="1" applyAlignment="1">
      <alignment horizontal="center"/>
    </xf>
    <xf numFmtId="2" fontId="0" fillId="12" borderId="0" xfId="0" applyNumberFormat="1" applyFill="1"/>
    <xf numFmtId="0" fontId="8" fillId="13" borderId="0" xfId="0" applyFont="1" applyFill="1" applyAlignment="1">
      <alignment horizontal="left"/>
    </xf>
    <xf numFmtId="0" fontId="8" fillId="9" borderId="0" xfId="0" applyFont="1" applyFill="1" applyAlignment="1">
      <alignment horizontal="left"/>
    </xf>
    <xf numFmtId="9" fontId="0" fillId="4" borderId="0" xfId="3" applyFont="1" applyFill="1"/>
    <xf numFmtId="9" fontId="0" fillId="12" borderId="0" xfId="3" applyFont="1" applyFill="1"/>
  </cellXfs>
  <cellStyles count="11">
    <cellStyle name="Calculation" xfId="10" builtinId="22"/>
    <cellStyle name="Comma" xfId="1" builtinId="3"/>
    <cellStyle name="Currency" xfId="2" builtinId="4"/>
    <cellStyle name="fa_column_header_bottom" xfId="7" xr:uid="{00000000-0005-0000-0000-000002000000}"/>
    <cellStyle name="Heading 1" xfId="4" builtinId="16" customBuiltin="1"/>
    <cellStyle name="Heading 2" xfId="5" builtinId="17" hidden="1" customBuiltin="1"/>
    <cellStyle name="Heading 3" xfId="6" builtinId="18" customBuiltin="1"/>
    <cellStyle name="Input" xfId="8" builtinId="20"/>
    <cellStyle name="Normal" xfId="0" builtinId="0"/>
    <cellStyle name="Output" xfId="9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ys652/AppData/Local/Temp/Bloomberg/data/XF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AppData/Local/Temp/Temp4_FIN%204873%20-%20Comp%20Mod%20of%20Fin%20Apps.zip/PROJECT/Hasbro%20Financials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RC"/>
      <sheetName val="SA"/>
      <sheetName val="Labels,Validation,Overrides"/>
      <sheetName val="AD"/>
      <sheetName val="Income Statement"/>
      <sheetName val="Balance Sheet"/>
      <sheetName val="Cash Flow"/>
      <sheetName val="Segments"/>
      <sheetName val="Industry"/>
      <sheetName val="Reconciliation"/>
      <sheetName val="SBC &amp; Amortization"/>
      <sheetName val="Ratios"/>
      <sheetName val="Data Check"/>
      <sheetName val="Custom"/>
      <sheetName val="segSettings"/>
      <sheetName val="segDataCheck"/>
      <sheetName val="SegData"/>
      <sheetName val="SG2"/>
      <sheetName val="SG"/>
      <sheetName val="RA"/>
      <sheetName val="Help"/>
    </sheetNames>
    <sheetDataSet>
      <sheetData sheetId="0">
        <row r="1">
          <cell r="A1" t="str">
            <v>Index Row</v>
          </cell>
          <cell r="B1" t="str">
            <v>Industrial- Adjusted</v>
          </cell>
          <cell r="F1" t="str">
            <v>Industrial- GAAP</v>
          </cell>
          <cell r="G1" t="e">
            <v>#VALUE!</v>
          </cell>
          <cell r="J1" t="str">
            <v>Industrial</v>
          </cell>
          <cell r="N1" t="str">
            <v>Bank- Adjusted</v>
          </cell>
          <cell r="R1" t="str">
            <v>Bank- GAAP</v>
          </cell>
          <cell r="V1" t="str">
            <v>Bank</v>
          </cell>
          <cell r="Z1" t="str">
            <v>Insurance- Adjusted</v>
          </cell>
          <cell r="AD1" t="str">
            <v>Insurance- GAAP</v>
          </cell>
          <cell r="AH1" t="str">
            <v>Insurance</v>
          </cell>
          <cell r="AL1" t="str">
            <v>Financial- Adjusted</v>
          </cell>
          <cell r="AP1" t="str">
            <v>Financial- GAAP</v>
          </cell>
          <cell r="AT1" t="str">
            <v>Financial</v>
          </cell>
          <cell r="AX1" t="str">
            <v>Utility- Adjusted</v>
          </cell>
          <cell r="BB1" t="str">
            <v>Utility- GAAP</v>
          </cell>
          <cell r="BF1" t="str">
            <v>Utility</v>
          </cell>
          <cell r="BJ1" t="str">
            <v>REIT- Adjusted</v>
          </cell>
          <cell r="BN1" t="str">
            <v>REIT- GAAP</v>
          </cell>
          <cell r="BR1" t="str">
            <v>REIT</v>
          </cell>
        </row>
      </sheetData>
      <sheetData sheetId="1"/>
      <sheetData sheetId="2"/>
      <sheetData sheetId="3"/>
      <sheetData sheetId="4"/>
      <sheetData sheetId="5">
        <row r="5">
          <cell r="C5" t="str">
            <v>ADJUSTED</v>
          </cell>
        </row>
        <row r="12">
          <cell r="C12" t="str">
            <v>EQY CONSOLIDATED=Y</v>
          </cell>
          <cell r="E12" t="str">
            <v>EQY FUND CRNCY=USD</v>
          </cell>
          <cell r="G12" t="str">
            <v>ACCOUNTING STANDARD OVERRIDE=Mixed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Income Statement"/>
      <sheetName val="Common Size Income-Statement"/>
      <sheetName val="Balance Sheet"/>
      <sheetName val="Project"/>
      <sheetName val="Common-Size Balance Sheet"/>
      <sheetName val="Ratios"/>
      <sheetName val="Financing"/>
      <sheetName val="DuPont"/>
    </sheetNames>
    <sheetDataSet>
      <sheetData sheetId="0"/>
      <sheetData sheetId="1">
        <row r="4">
          <cell r="D4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D8" sqref="D8"/>
    </sheetView>
  </sheetViews>
  <sheetFormatPr defaultRowHeight="15" x14ac:dyDescent="0.25"/>
  <cols>
    <col min="2" max="2" width="16.7109375" bestFit="1" customWidth="1"/>
  </cols>
  <sheetData>
    <row r="1" spans="1:4" x14ac:dyDescent="0.25">
      <c r="A1" s="111" t="s">
        <v>1</v>
      </c>
      <c r="B1" s="111"/>
      <c r="C1" s="111"/>
      <c r="D1" s="111"/>
    </row>
    <row r="3" spans="1:4" x14ac:dyDescent="0.25">
      <c r="B3" t="s">
        <v>0</v>
      </c>
    </row>
  </sheetData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252E-EF99-402C-A224-C19585F33460}">
  <dimension ref="A1:H6"/>
  <sheetViews>
    <sheetView zoomScale="91" workbookViewId="0">
      <selection activeCell="I6" sqref="I6"/>
    </sheetView>
  </sheetViews>
  <sheetFormatPr defaultRowHeight="15" x14ac:dyDescent="0.25"/>
  <cols>
    <col min="1" max="1" width="19.42578125" style="53" bestFit="1" customWidth="1"/>
    <col min="2" max="2" width="13" style="53" customWidth="1"/>
    <col min="3" max="8" width="11.140625" style="53" customWidth="1"/>
    <col min="9" max="16384" width="9.140625" style="53"/>
  </cols>
  <sheetData>
    <row r="1" spans="1:8" x14ac:dyDescent="0.25">
      <c r="C1" s="113" t="s">
        <v>121</v>
      </c>
      <c r="D1" s="113"/>
      <c r="E1" s="113"/>
      <c r="F1" s="113" t="s">
        <v>178</v>
      </c>
      <c r="G1" s="113"/>
      <c r="H1" s="113"/>
    </row>
    <row r="2" spans="1:8" x14ac:dyDescent="0.25">
      <c r="B2" s="54">
        <f>'[2]Income Statement'!D4</f>
        <v>2017</v>
      </c>
      <c r="C2" s="158">
        <v>2018</v>
      </c>
      <c r="D2" s="158">
        <v>2019</v>
      </c>
      <c r="E2" s="158">
        <v>2020</v>
      </c>
      <c r="F2" s="159">
        <v>2018</v>
      </c>
      <c r="G2" s="159">
        <v>2019</v>
      </c>
      <c r="H2" s="159">
        <v>2020</v>
      </c>
    </row>
    <row r="3" spans="1:8" x14ac:dyDescent="0.25">
      <c r="A3" s="53" t="s">
        <v>198</v>
      </c>
      <c r="B3" s="23">
        <f>'Ratios and WACC'!B25</f>
        <v>-0.17629843363561418</v>
      </c>
      <c r="C3" s="160">
        <f>'Ratios and WACC'!C25</f>
        <v>-3.3168366119368943E-2</v>
      </c>
      <c r="D3" s="160">
        <f>'Ratios and WACC'!D25</f>
        <v>9.0638905666656541E-2</v>
      </c>
      <c r="E3" s="160">
        <f>'Ratios and WACC'!E25</f>
        <v>0.44710400118617427</v>
      </c>
      <c r="F3" s="161">
        <f>'Ratios and WACC'!F25</f>
        <v>0.4792136865154451</v>
      </c>
      <c r="G3" s="161">
        <f>'Ratios and WACC'!G25</f>
        <v>0.51738093890528525</v>
      </c>
      <c r="H3" s="161">
        <f>'Ratios and WACC'!H25</f>
        <v>0.59554073594351731</v>
      </c>
    </row>
    <row r="4" spans="1:8" x14ac:dyDescent="0.25">
      <c r="A4" s="53" t="s">
        <v>186</v>
      </c>
      <c r="B4" s="41">
        <f>'Ratios and WACC'!B11</f>
        <v>0.12667243724496105</v>
      </c>
      <c r="C4" s="66">
        <f>'Ratios and WACC'!C11</f>
        <v>6.6817530580926807E-2</v>
      </c>
      <c r="D4" s="66">
        <f>'Ratios and WACC'!D11</f>
        <v>4.9218788087987582E-2</v>
      </c>
      <c r="E4" s="66">
        <f>'Ratios and WACC'!E11</f>
        <v>3.1364208519259675E-2</v>
      </c>
      <c r="F4" s="157">
        <f>'Ratios and WACC'!F11</f>
        <v>7.1556935638479979E-2</v>
      </c>
      <c r="G4" s="157">
        <f>'Ratios and WACC'!G11</f>
        <v>4.4915253490275912E-2</v>
      </c>
      <c r="H4" s="157">
        <f>'Ratios and WACC'!H11</f>
        <v>3.2686507089529554E-2</v>
      </c>
    </row>
    <row r="5" spans="1:8" x14ac:dyDescent="0.25">
      <c r="A5" s="53" t="s">
        <v>191</v>
      </c>
      <c r="B5" s="41">
        <f>'Ratios and WACC'!B17</f>
        <v>7.7402912621359219</v>
      </c>
      <c r="C5" s="66">
        <f>'Ratios and WACC'!C17</f>
        <v>42.592909804389485</v>
      </c>
      <c r="D5" s="66">
        <f>'Ratios and WACC'!D17</f>
        <v>15.699642292079094</v>
      </c>
      <c r="E5" s="66">
        <f>'Ratios and WACC'!E17</f>
        <v>7.6118830123631316</v>
      </c>
      <c r="F5" s="157">
        <f>'Ratios and WACC'!F17</f>
        <v>35.4492335429794</v>
      </c>
      <c r="G5" s="157">
        <f>'Ratios and WACC'!G17</f>
        <v>15.290943960889779</v>
      </c>
      <c r="H5" s="157">
        <f>'Ratios and WACC'!H17</f>
        <v>8.2262255751458504</v>
      </c>
    </row>
    <row r="6" spans="1:8" x14ac:dyDescent="0.25">
      <c r="A6" s="53" t="s">
        <v>200</v>
      </c>
      <c r="B6" s="74">
        <f>B3*B4*B5</f>
        <v>-0.17285736308862437</v>
      </c>
      <c r="C6" s="74">
        <f t="shared" ref="C6:H6" si="0">C3*C4*C5</f>
        <v>-9.4395612833224604E-2</v>
      </c>
      <c r="D6" s="74">
        <f t="shared" si="0"/>
        <v>7.0038256537314436E-2</v>
      </c>
      <c r="E6" s="74">
        <f t="shared" si="0"/>
        <v>0.10674191596724812</v>
      </c>
      <c r="F6" s="74">
        <f t="shared" si="0"/>
        <v>1.2155918979967126</v>
      </c>
      <c r="G6" s="74">
        <f t="shared" si="0"/>
        <v>0.35533548221847816</v>
      </c>
      <c r="H6" s="74">
        <f t="shared" si="0"/>
        <v>0.16013291208518432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6"/>
  <sheetViews>
    <sheetView zoomScale="81" zoomScaleNormal="100" workbookViewId="0">
      <pane xSplit="1" topLeftCell="D1" activePane="topRight" state="frozen"/>
      <selection pane="topRight" activeCell="H59" sqref="H59"/>
    </sheetView>
  </sheetViews>
  <sheetFormatPr defaultRowHeight="15" x14ac:dyDescent="0.25"/>
  <cols>
    <col min="1" max="1" width="39" bestFit="1" customWidth="1"/>
    <col min="2" max="9" width="15.85546875" bestFit="1" customWidth="1"/>
    <col min="10" max="12" width="12.140625" bestFit="1" customWidth="1"/>
    <col min="13" max="15" width="14.140625" bestFit="1" customWidth="1"/>
  </cols>
  <sheetData>
    <row r="1" spans="1:38" s="7" customFormat="1" x14ac:dyDescent="0.25"/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12" t="s">
        <v>121</v>
      </c>
      <c r="K2" s="112"/>
      <c r="L2" s="112"/>
      <c r="M2" s="112" t="s">
        <v>121</v>
      </c>
      <c r="N2" s="112"/>
      <c r="O2" s="1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25"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53">
        <v>2018</v>
      </c>
      <c r="N3" s="53">
        <v>2019</v>
      </c>
      <c r="O3" s="53">
        <v>2020</v>
      </c>
    </row>
    <row r="4" spans="1:38" ht="20.25" thickBot="1" x14ac:dyDescent="0.35">
      <c r="A4" s="1"/>
      <c r="B4" s="8" t="s">
        <v>9</v>
      </c>
      <c r="C4" s="8" t="s">
        <v>8</v>
      </c>
      <c r="D4" s="8" t="s">
        <v>7</v>
      </c>
      <c r="E4" s="8" t="s">
        <v>6</v>
      </c>
      <c r="F4" s="8" t="s">
        <v>5</v>
      </c>
      <c r="G4" s="8" t="s">
        <v>4</v>
      </c>
      <c r="H4" s="8" t="s">
        <v>3</v>
      </c>
      <c r="I4" s="8" t="s">
        <v>2</v>
      </c>
      <c r="J4" s="19" t="s">
        <v>117</v>
      </c>
      <c r="K4" s="19" t="s">
        <v>118</v>
      </c>
      <c r="L4" s="19" t="s">
        <v>133</v>
      </c>
      <c r="M4" s="93" t="s">
        <v>117</v>
      </c>
      <c r="N4" s="93" t="s">
        <v>118</v>
      </c>
      <c r="O4" s="93" t="s">
        <v>133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8" customHeight="1" thickTop="1" thickBot="1" x14ac:dyDescent="0.35">
      <c r="A5" s="1"/>
      <c r="B5" s="9">
        <v>40543</v>
      </c>
      <c r="C5" s="9">
        <v>40908</v>
      </c>
      <c r="D5" s="9">
        <v>41274</v>
      </c>
      <c r="E5" s="9">
        <v>41639</v>
      </c>
      <c r="F5" s="9">
        <v>42004</v>
      </c>
      <c r="G5" s="9">
        <v>42369</v>
      </c>
      <c r="H5" s="9">
        <v>42735</v>
      </c>
      <c r="I5" s="9">
        <v>43100</v>
      </c>
      <c r="J5" s="19" t="s">
        <v>119</v>
      </c>
      <c r="K5" s="19" t="s">
        <v>120</v>
      </c>
      <c r="L5" s="19" t="s">
        <v>132</v>
      </c>
      <c r="M5" s="93" t="s">
        <v>119</v>
      </c>
      <c r="N5" s="93" t="s">
        <v>120</v>
      </c>
      <c r="O5" s="93" t="s">
        <v>132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1" customFormat="1" ht="18" customHeight="1" thickTop="1" x14ac:dyDescent="0.25"/>
    <row r="7" spans="1:38" ht="18" customHeight="1" x14ac:dyDescent="0.25">
      <c r="A7" s="13" t="s">
        <v>10</v>
      </c>
      <c r="B7" s="14">
        <v>8818.6</v>
      </c>
      <c r="C7" s="14">
        <v>8573.2999999999993</v>
      </c>
      <c r="D7" s="14">
        <v>8580.4</v>
      </c>
      <c r="E7" s="14">
        <v>8220</v>
      </c>
      <c r="F7" s="14">
        <v>8516</v>
      </c>
      <c r="G7" s="14">
        <v>3929</v>
      </c>
      <c r="H7" s="14">
        <v>3877</v>
      </c>
      <c r="I7" s="14">
        <v>4852</v>
      </c>
      <c r="J7" s="20">
        <f>TREND(B7:I7,B$3:I$3,J$3)</f>
        <v>3443.6857142858207</v>
      </c>
      <c r="K7" s="20">
        <f t="shared" ref="K7:L21" si="0">TREND(C7:J7,C$3:J$3,K$3)</f>
        <v>2382.9250000000466</v>
      </c>
      <c r="L7" s="20">
        <f t="shared" si="0"/>
        <v>1280.0604591837618</v>
      </c>
      <c r="M7" s="124">
        <f>J7+Project!$D$25</f>
        <v>3792.3552125358206</v>
      </c>
      <c r="N7" s="124">
        <f>K7+Project!$D$25</f>
        <v>2731.5944982500464</v>
      </c>
      <c r="O7" s="124">
        <f>L7+Project!$D$25</f>
        <v>1628.7299574337619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idden="1" x14ac:dyDescent="0.25">
      <c r="A8" s="1" t="s">
        <v>11</v>
      </c>
      <c r="B8" s="6">
        <v>9560.7999999999993</v>
      </c>
      <c r="C8" s="6">
        <v>9096</v>
      </c>
      <c r="D8" s="6">
        <v>9003.4</v>
      </c>
      <c r="E8" s="6">
        <v>8204</v>
      </c>
      <c r="F8" s="6">
        <v>8123</v>
      </c>
      <c r="G8" s="6">
        <v>3987</v>
      </c>
      <c r="H8" s="6">
        <v>3888</v>
      </c>
      <c r="I8" s="6">
        <v>4857</v>
      </c>
      <c r="J8" s="20">
        <f t="shared" ref="J8:J48" si="1">TREND(B8:I8,B$3:I$3,J$3)</f>
        <v>3120.428571428638</v>
      </c>
      <c r="K8" s="20">
        <f t="shared" si="0"/>
        <v>2018.1571428570896</v>
      </c>
      <c r="L8" s="20">
        <f t="shared" si="0"/>
        <v>888.78979591839015</v>
      </c>
      <c r="M8" s="125"/>
      <c r="N8" s="125"/>
      <c r="O8" s="12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idden="1" x14ac:dyDescent="0.25">
      <c r="A9" s="1" t="s">
        <v>12</v>
      </c>
      <c r="B9" s="6">
        <v>-742.2</v>
      </c>
      <c r="C9" s="6">
        <v>-522.70000000000005</v>
      </c>
      <c r="D9" s="6">
        <v>-423</v>
      </c>
      <c r="E9" s="6">
        <v>16</v>
      </c>
      <c r="F9" s="6">
        <v>393</v>
      </c>
      <c r="G9" s="6">
        <v>-58</v>
      </c>
      <c r="H9" s="6">
        <v>-11</v>
      </c>
      <c r="I9" s="6">
        <v>-5</v>
      </c>
      <c r="J9" s="20">
        <f t="shared" si="1"/>
        <v>323.25714285715367</v>
      </c>
      <c r="K9" s="20">
        <f t="shared" si="0"/>
        <v>364.76785714286962</v>
      </c>
      <c r="L9" s="20">
        <f t="shared" si="0"/>
        <v>391.27066326531349</v>
      </c>
      <c r="M9" s="125"/>
      <c r="N9" s="125"/>
      <c r="O9" s="12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 t="s">
        <v>13</v>
      </c>
      <c r="B10" s="6">
        <v>4829.5999999999995</v>
      </c>
      <c r="C10" s="6">
        <v>4563.7</v>
      </c>
      <c r="D10" s="6">
        <v>4575.3</v>
      </c>
      <c r="E10" s="6">
        <v>4315</v>
      </c>
      <c r="F10" s="6">
        <v>4505</v>
      </c>
      <c r="G10" s="6">
        <v>1830</v>
      </c>
      <c r="H10" s="6">
        <v>1760</v>
      </c>
      <c r="I10" s="6">
        <v>2291</v>
      </c>
      <c r="J10" s="20">
        <f>$J$61*J7</f>
        <v>1693.765372162231</v>
      </c>
      <c r="K10" s="20">
        <f>$J$61*K7</f>
        <v>1172.0337406855392</v>
      </c>
      <c r="L10" s="20">
        <f>$J$61*L7</f>
        <v>629.59348207801918</v>
      </c>
      <c r="M10" s="126">
        <f>$J$61*M7</f>
        <v>1865.2573059397898</v>
      </c>
      <c r="N10" s="126">
        <f>$J$61*N7</f>
        <v>1343.5256744630979</v>
      </c>
      <c r="O10" s="126">
        <f>$J$61*O7</f>
        <v>801.08541585557816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idden="1" x14ac:dyDescent="0.25">
      <c r="A11" s="1" t="s">
        <v>14</v>
      </c>
      <c r="B11" s="6">
        <v>4829.6000000000004</v>
      </c>
      <c r="C11" s="6">
        <v>4563.7</v>
      </c>
      <c r="D11" s="6">
        <v>4575.3</v>
      </c>
      <c r="E11" s="6">
        <v>4315</v>
      </c>
      <c r="F11" s="6">
        <v>4505</v>
      </c>
      <c r="G11" s="6">
        <v>1830</v>
      </c>
      <c r="H11" s="6">
        <v>1760</v>
      </c>
      <c r="I11" s="6">
        <v>2291</v>
      </c>
      <c r="J11" s="20">
        <f t="shared" si="1"/>
        <v>1449.7035714285448</v>
      </c>
      <c r="K11" s="20">
        <f t="shared" si="0"/>
        <v>827.66964285704307</v>
      </c>
      <c r="L11" s="20">
        <f t="shared" si="0"/>
        <v>161.78622448979877</v>
      </c>
      <c r="M11" s="125"/>
      <c r="N11" s="125"/>
      <c r="O11" s="12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13" t="s">
        <v>15</v>
      </c>
      <c r="B12" s="96">
        <v>3989</v>
      </c>
      <c r="C12" s="96">
        <v>4009.5999999999995</v>
      </c>
      <c r="D12" s="96">
        <v>4005.0999999999995</v>
      </c>
      <c r="E12" s="96">
        <v>3905</v>
      </c>
      <c r="F12" s="96">
        <v>4011</v>
      </c>
      <c r="G12" s="96">
        <v>2099</v>
      </c>
      <c r="H12" s="96">
        <v>2117</v>
      </c>
      <c r="I12" s="96">
        <v>2561</v>
      </c>
      <c r="J12" s="97">
        <f>J7-J10</f>
        <v>1749.9203421235898</v>
      </c>
      <c r="K12" s="97">
        <f>K7-K10</f>
        <v>1210.8912593145074</v>
      </c>
      <c r="L12" s="97">
        <f>L7-L10</f>
        <v>650.46697710574267</v>
      </c>
      <c r="M12" s="127">
        <f t="shared" ref="M12:O12" si="2">M7-M10</f>
        <v>1927.0979065960307</v>
      </c>
      <c r="N12" s="127">
        <f t="shared" si="2"/>
        <v>1388.0688237869485</v>
      </c>
      <c r="O12" s="127">
        <f t="shared" si="2"/>
        <v>827.64454157818375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idden="1" x14ac:dyDescent="0.25">
      <c r="A13" s="1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20">
        <f t="shared" si="1"/>
        <v>0</v>
      </c>
      <c r="K13" s="20">
        <f t="shared" si="0"/>
        <v>0</v>
      </c>
      <c r="L13" s="20">
        <f t="shared" si="0"/>
        <v>0</v>
      </c>
      <c r="M13" s="125"/>
      <c r="N13" s="125"/>
      <c r="O13" s="1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1" t="s">
        <v>17</v>
      </c>
      <c r="B14" s="6">
        <v>3100.3999999999996</v>
      </c>
      <c r="C14" s="6">
        <v>3075.7999999999997</v>
      </c>
      <c r="D14" s="6">
        <v>3151.6</v>
      </c>
      <c r="E14" s="6">
        <v>3060</v>
      </c>
      <c r="F14" s="6">
        <v>3233</v>
      </c>
      <c r="G14" s="6">
        <v>1559</v>
      </c>
      <c r="H14" s="6">
        <v>1718</v>
      </c>
      <c r="I14" s="6">
        <v>1875</v>
      </c>
      <c r="J14" s="20">
        <f t="shared" si="1"/>
        <v>1526.6928571428289</v>
      </c>
      <c r="K14" s="20">
        <f t="shared" si="0"/>
        <v>1171.6678571428638</v>
      </c>
      <c r="L14" s="20">
        <f t="shared" si="0"/>
        <v>798.95612244890071</v>
      </c>
      <c r="M14" s="128">
        <f>J14</f>
        <v>1526.6928571428289</v>
      </c>
      <c r="N14" s="128">
        <f t="shared" ref="N14:O14" si="3">K14</f>
        <v>1171.6678571428638</v>
      </c>
      <c r="O14" s="128">
        <f t="shared" si="3"/>
        <v>798.95612244890071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" hidden="1" customHeight="1" x14ac:dyDescent="0.25">
      <c r="A15" s="1" t="s">
        <v>18</v>
      </c>
      <c r="B15" s="6">
        <v>2061.6999999999998</v>
      </c>
      <c r="C15" s="6">
        <v>2086.9</v>
      </c>
      <c r="D15" s="6">
        <v>2043.5</v>
      </c>
      <c r="E15" s="6">
        <v>2035</v>
      </c>
      <c r="F15" s="6">
        <v>2149</v>
      </c>
      <c r="G15" s="6">
        <v>1053</v>
      </c>
      <c r="H15" s="6">
        <v>1166</v>
      </c>
      <c r="I15" s="6">
        <v>1133</v>
      </c>
      <c r="J15" s="20">
        <f t="shared" si="1"/>
        <v>968</v>
      </c>
      <c r="K15" s="20">
        <f t="shared" si="0"/>
        <v>717.45357142854482</v>
      </c>
      <c r="L15" s="20">
        <f t="shared" si="0"/>
        <v>467.81607142859139</v>
      </c>
      <c r="M15" s="125"/>
      <c r="N15" s="125"/>
      <c r="O15" s="1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1" t="s">
        <v>19</v>
      </c>
      <c r="B16" s="6">
        <v>2061.6999999999998</v>
      </c>
      <c r="C16" s="6">
        <v>2086.9</v>
      </c>
      <c r="D16" s="6">
        <v>2043.5</v>
      </c>
      <c r="E16" s="6">
        <v>2035</v>
      </c>
      <c r="F16" s="6">
        <v>2149</v>
      </c>
      <c r="G16" s="6">
        <v>1053</v>
      </c>
      <c r="H16" s="6">
        <v>1166</v>
      </c>
      <c r="I16" s="6">
        <v>1133</v>
      </c>
      <c r="J16" s="20">
        <f t="shared" si="1"/>
        <v>968</v>
      </c>
      <c r="K16" s="20">
        <f t="shared" si="0"/>
        <v>717.45357142854482</v>
      </c>
      <c r="L16" s="20">
        <f t="shared" si="0"/>
        <v>467.81607142859139</v>
      </c>
      <c r="M16" s="129">
        <f>J16*0.25</f>
        <v>242</v>
      </c>
      <c r="N16" s="129">
        <f t="shared" ref="N16:O16" si="4">K16*0.25</f>
        <v>179.3633928571362</v>
      </c>
      <c r="O16" s="129">
        <f t="shared" si="4"/>
        <v>116.95401785714785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idden="1" x14ac:dyDescent="0.25">
      <c r="A17" s="1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20">
        <f t="shared" si="1"/>
        <v>0</v>
      </c>
      <c r="K17" s="20">
        <f t="shared" si="0"/>
        <v>0</v>
      </c>
      <c r="L17" s="20">
        <f t="shared" si="0"/>
        <v>0</v>
      </c>
      <c r="M17" s="125"/>
      <c r="N17" s="125"/>
      <c r="O17" s="1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1" t="s">
        <v>21</v>
      </c>
      <c r="B18" s="6">
        <v>896.3</v>
      </c>
      <c r="C18" s="6">
        <v>834.8</v>
      </c>
      <c r="D18" s="6">
        <v>889</v>
      </c>
      <c r="E18" s="6">
        <v>701</v>
      </c>
      <c r="F18" s="6">
        <v>636</v>
      </c>
      <c r="G18" s="6">
        <v>374</v>
      </c>
      <c r="H18" s="6">
        <v>439</v>
      </c>
      <c r="I18" s="6">
        <v>628</v>
      </c>
      <c r="J18" s="20">
        <f t="shared" si="1"/>
        <v>381.88214285715367</v>
      </c>
      <c r="K18" s="20">
        <f t="shared" si="0"/>
        <v>314.5625000000291</v>
      </c>
      <c r="L18" s="20">
        <f t="shared" si="0"/>
        <v>246.73494897963246</v>
      </c>
      <c r="M18" s="128">
        <f>J18</f>
        <v>381.88214285715367</v>
      </c>
      <c r="N18" s="128">
        <f t="shared" ref="N18:O18" si="5">K18</f>
        <v>314.5625000000291</v>
      </c>
      <c r="O18" s="128">
        <f t="shared" si="5"/>
        <v>246.73494897963246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" t="s">
        <v>22</v>
      </c>
      <c r="B19" s="6">
        <v>142.4</v>
      </c>
      <c r="C19" s="6">
        <v>154.1</v>
      </c>
      <c r="D19" s="6">
        <v>219.1</v>
      </c>
      <c r="E19" s="6">
        <v>324</v>
      </c>
      <c r="F19" s="6">
        <v>448</v>
      </c>
      <c r="G19" s="6">
        <v>132</v>
      </c>
      <c r="H19" s="6">
        <v>113</v>
      </c>
      <c r="I19" s="6">
        <v>114</v>
      </c>
      <c r="J19" s="20">
        <f t="shared" si="1"/>
        <v>176.8107142857134</v>
      </c>
      <c r="K19" s="20">
        <f t="shared" si="0"/>
        <v>139.65178571428623</v>
      </c>
      <c r="L19" s="20">
        <f t="shared" si="0"/>
        <v>84.405102040815109</v>
      </c>
      <c r="M19" s="128">
        <f>J19</f>
        <v>176.8107142857134</v>
      </c>
      <c r="N19" s="128">
        <f t="shared" ref="N19:O19" si="6">K19</f>
        <v>139.65178571428623</v>
      </c>
      <c r="O19" s="128">
        <f t="shared" si="6"/>
        <v>84.405102040815109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13" t="s">
        <v>23</v>
      </c>
      <c r="B20" s="96">
        <v>888.59999999999991</v>
      </c>
      <c r="C20" s="96">
        <v>933.8</v>
      </c>
      <c r="D20" s="96">
        <v>853.5</v>
      </c>
      <c r="E20" s="96">
        <v>845</v>
      </c>
      <c r="F20" s="96">
        <v>778</v>
      </c>
      <c r="G20" s="96">
        <v>540</v>
      </c>
      <c r="H20" s="96">
        <v>399</v>
      </c>
      <c r="I20" s="96">
        <v>686</v>
      </c>
      <c r="J20" s="97">
        <f t="shared" si="1"/>
        <v>467.28928571430151</v>
      </c>
      <c r="K20" s="97">
        <f t="shared" si="0"/>
        <v>383.58749999999418</v>
      </c>
      <c r="L20" s="97">
        <f t="shared" si="0"/>
        <v>319.31811224491685</v>
      </c>
      <c r="M20" s="130">
        <f>(M12-SUM(M14:M19))</f>
        <v>-400.28780768966521</v>
      </c>
      <c r="N20" s="130">
        <f t="shared" ref="N20:O20" si="7">(N12-SUM(N14:N19))</f>
        <v>-417.1767119273668</v>
      </c>
      <c r="O20" s="130">
        <f t="shared" si="7"/>
        <v>-419.40564974831238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1" t="s">
        <v>24</v>
      </c>
      <c r="B21" s="6">
        <v>1939.9</v>
      </c>
      <c r="C21" s="6">
        <v>2097</v>
      </c>
      <c r="D21" s="6">
        <v>2074.8000000000002</v>
      </c>
      <c r="E21" s="6">
        <v>2194</v>
      </c>
      <c r="F21" s="6">
        <v>2574</v>
      </c>
      <c r="G21" s="6">
        <v>676</v>
      </c>
      <c r="H21" s="6">
        <v>628</v>
      </c>
      <c r="I21" s="6">
        <v>679</v>
      </c>
      <c r="J21" s="20">
        <f t="shared" si="1"/>
        <v>537.06785714282887</v>
      </c>
      <c r="K21" s="20">
        <f t="shared" si="0"/>
        <v>120.27678571431898</v>
      </c>
      <c r="L21" s="20">
        <f t="shared" si="0"/>
        <v>-298.4992346939398</v>
      </c>
      <c r="M21" s="128">
        <f>J21</f>
        <v>537.06785714282887</v>
      </c>
      <c r="N21" s="128">
        <f t="shared" ref="N21:O21" si="8">K21</f>
        <v>120.27678571431898</v>
      </c>
      <c r="O21" s="128">
        <f t="shared" si="8"/>
        <v>-298.4992346939398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1" t="s">
        <v>26</v>
      </c>
      <c r="B22" s="6">
        <v>1981.6</v>
      </c>
      <c r="C22" s="6">
        <v>2122.3000000000002</v>
      </c>
      <c r="D22" s="6">
        <v>2100.3000000000002</v>
      </c>
      <c r="E22" s="6">
        <v>2252</v>
      </c>
      <c r="F22" s="6">
        <v>2670</v>
      </c>
      <c r="G22" s="6">
        <v>683</v>
      </c>
      <c r="H22" s="6">
        <v>599</v>
      </c>
      <c r="I22" s="6">
        <v>774</v>
      </c>
      <c r="J22" s="20">
        <f t="shared" si="1"/>
        <v>581.51071428577416</v>
      </c>
      <c r="K22" s="20">
        <f t="shared" ref="K22:K49" si="9">TREND(C22:J22,C$3:J$3,K$3)</f>
        <v>167.60178571427241</v>
      </c>
      <c r="L22" s="20">
        <f t="shared" ref="L22:L49" si="10">TREND(D22:K22,D$3:K$3,L$3)</f>
        <v>-253.00204081635457</v>
      </c>
      <c r="M22" s="128">
        <f t="shared" ref="M22:M23" si="11">J22</f>
        <v>581.51071428577416</v>
      </c>
      <c r="N22" s="128">
        <f t="shared" ref="N22:N23" si="12">K22</f>
        <v>167.60178571427241</v>
      </c>
      <c r="O22" s="128">
        <f t="shared" ref="O22:O23" si="13">L22</f>
        <v>-253.00204081635457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1" t="s">
        <v>27</v>
      </c>
      <c r="B23" s="6">
        <v>-41.7</v>
      </c>
      <c r="C23" s="6">
        <v>-25.3</v>
      </c>
      <c r="D23" s="6">
        <v>-25.5</v>
      </c>
      <c r="E23" s="6">
        <v>-58</v>
      </c>
      <c r="F23" s="6">
        <v>-96</v>
      </c>
      <c r="G23" s="6">
        <v>-7</v>
      </c>
      <c r="H23" s="6">
        <v>29</v>
      </c>
      <c r="I23" s="6">
        <v>-95</v>
      </c>
      <c r="J23" s="20">
        <f t="shared" si="1"/>
        <v>-44.442857142857065</v>
      </c>
      <c r="K23" s="20">
        <f t="shared" si="9"/>
        <v>-47.325000000000273</v>
      </c>
      <c r="L23" s="20">
        <f t="shared" si="10"/>
        <v>-45.497193877551126</v>
      </c>
      <c r="M23" s="128">
        <f t="shared" si="11"/>
        <v>-44.442857142857065</v>
      </c>
      <c r="N23" s="128">
        <f t="shared" si="12"/>
        <v>-47.325000000000273</v>
      </c>
      <c r="O23" s="128">
        <f t="shared" si="13"/>
        <v>-45.497193877551126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1" t="s">
        <v>28</v>
      </c>
      <c r="B24" s="6">
        <v>-468.7</v>
      </c>
      <c r="C24" s="6">
        <v>-534.70000000000005</v>
      </c>
      <c r="D24" s="6">
        <v>-870.5</v>
      </c>
      <c r="E24" s="6">
        <v>-1517</v>
      </c>
      <c r="F24" s="6">
        <v>-543</v>
      </c>
      <c r="G24" s="6">
        <v>-106</v>
      </c>
      <c r="H24" s="6">
        <v>327</v>
      </c>
      <c r="I24" s="6">
        <v>-1995</v>
      </c>
      <c r="J24" s="20">
        <f t="shared" si="1"/>
        <v>-879.99285714286088</v>
      </c>
      <c r="K24" s="20">
        <f t="shared" si="9"/>
        <v>-875.82142857143481</v>
      </c>
      <c r="L24" s="20">
        <f t="shared" si="10"/>
        <v>-849.06862244898366</v>
      </c>
      <c r="M24" s="128">
        <f>J24</f>
        <v>-879.99285714286088</v>
      </c>
      <c r="N24" s="128">
        <f t="shared" ref="N24:O24" si="14">K24</f>
        <v>-875.82142857143481</v>
      </c>
      <c r="O24" s="128">
        <f t="shared" si="14"/>
        <v>-849.06862244898366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hidden="1" customHeight="1" x14ac:dyDescent="0.25">
      <c r="A25" s="1" t="s">
        <v>29</v>
      </c>
      <c r="B25" s="6">
        <v>-212.4</v>
      </c>
      <c r="C25" s="6">
        <v>-8.6999999999999993</v>
      </c>
      <c r="D25" s="6">
        <v>-53.4</v>
      </c>
      <c r="E25" s="6">
        <v>-61</v>
      </c>
      <c r="F25" s="6">
        <v>-54</v>
      </c>
      <c r="G25" s="6">
        <v>-1</v>
      </c>
      <c r="H25" s="6">
        <v>383</v>
      </c>
      <c r="I25" s="6">
        <v>-137</v>
      </c>
      <c r="J25" s="20">
        <f t="shared" si="1"/>
        <v>123.92857142857247</v>
      </c>
      <c r="K25" s="20">
        <f t="shared" si="9"/>
        <v>125.51785714284779</v>
      </c>
      <c r="L25" s="20">
        <f t="shared" si="10"/>
        <v>164.61658163264656</v>
      </c>
      <c r="M25" s="125"/>
      <c r="N25" s="125"/>
      <c r="O25" s="1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 hidden="1" customHeight="1" x14ac:dyDescent="0.25">
      <c r="A26" s="1" t="s">
        <v>30</v>
      </c>
      <c r="B26" s="6">
        <v>-256.3</v>
      </c>
      <c r="C26" s="6">
        <v>-526</v>
      </c>
      <c r="D26" s="6">
        <v>-817.1</v>
      </c>
      <c r="E26" s="6">
        <v>-1456</v>
      </c>
      <c r="F26" s="6">
        <v>-489</v>
      </c>
      <c r="G26" s="6">
        <v>-105</v>
      </c>
      <c r="H26" s="6">
        <v>-56</v>
      </c>
      <c r="I26" s="6">
        <v>-1858</v>
      </c>
      <c r="J26" s="20">
        <f t="shared" si="1"/>
        <v>-1003.921428571397</v>
      </c>
      <c r="K26" s="20">
        <f t="shared" si="9"/>
        <v>-1001.3392857142753</v>
      </c>
      <c r="L26" s="20">
        <f t="shared" si="10"/>
        <v>-1013.6852040816157</v>
      </c>
      <c r="M26" s="125"/>
      <c r="N26" s="125"/>
      <c r="O26" s="1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 hidden="1" customHeight="1" x14ac:dyDescent="0.25">
      <c r="A27" s="1" t="s">
        <v>31</v>
      </c>
      <c r="B27" s="6">
        <v>0</v>
      </c>
      <c r="C27" s="6">
        <v>0</v>
      </c>
      <c r="D27" s="6">
        <v>0</v>
      </c>
      <c r="E27" s="6">
        <v>0</v>
      </c>
      <c r="F27" s="6" t="s">
        <v>25</v>
      </c>
      <c r="G27" s="6" t="s">
        <v>25</v>
      </c>
      <c r="H27" s="6" t="s">
        <v>25</v>
      </c>
      <c r="I27" s="6" t="s">
        <v>25</v>
      </c>
      <c r="J27" s="20" t="e">
        <f t="shared" si="1"/>
        <v>#VALUE!</v>
      </c>
      <c r="K27" s="20" t="e">
        <f t="shared" si="9"/>
        <v>#VALUE!</v>
      </c>
      <c r="L27" s="20" t="e">
        <f t="shared" si="10"/>
        <v>#VALUE!</v>
      </c>
      <c r="M27" s="125"/>
      <c r="N27" s="125"/>
      <c r="O27" s="1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 hidden="1" customHeight="1" x14ac:dyDescent="0.25">
      <c r="A28" s="13" t="s">
        <v>32</v>
      </c>
      <c r="B28" s="14">
        <v>-823.3</v>
      </c>
      <c r="C28" s="14">
        <v>-698.1</v>
      </c>
      <c r="D28" s="14">
        <v>-1388.2</v>
      </c>
      <c r="E28" s="14">
        <v>-2896</v>
      </c>
      <c r="F28" s="14">
        <v>-2674</v>
      </c>
      <c r="G28" s="14">
        <v>5853</v>
      </c>
      <c r="H28" s="14">
        <v>-6457</v>
      </c>
      <c r="I28" s="14">
        <v>-382</v>
      </c>
      <c r="J28" s="20">
        <f t="shared" si="1"/>
        <v>-1384.6178571428609</v>
      </c>
      <c r="K28" s="20">
        <f t="shared" si="9"/>
        <v>-1356.7910714285754</v>
      </c>
      <c r="L28" s="20">
        <f t="shared" si="10"/>
        <v>-1210.1954081632721</v>
      </c>
      <c r="M28" s="125"/>
      <c r="N28" s="125"/>
      <c r="O28" s="1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 hidden="1" customHeight="1" x14ac:dyDescent="0.25">
      <c r="A29" s="1" t="s">
        <v>33</v>
      </c>
      <c r="B29" s="6">
        <v>0</v>
      </c>
      <c r="C29" s="6">
        <v>-31.4</v>
      </c>
      <c r="D29" s="6">
        <v>114.6</v>
      </c>
      <c r="E29" s="6">
        <v>207</v>
      </c>
      <c r="F29" s="6">
        <v>192</v>
      </c>
      <c r="G29" s="6">
        <v>-155</v>
      </c>
      <c r="H29" s="6">
        <v>-3380</v>
      </c>
      <c r="I29" s="6">
        <v>0</v>
      </c>
      <c r="J29" s="20">
        <f t="shared" si="1"/>
        <v>-1322.6785714285215</v>
      </c>
      <c r="K29" s="20">
        <f t="shared" si="9"/>
        <v>-1656.9321428571129</v>
      </c>
      <c r="L29" s="20">
        <f t="shared" si="10"/>
        <v>-2027.8112244898221</v>
      </c>
      <c r="M29" s="125"/>
      <c r="N29" s="125"/>
      <c r="O29" s="1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hidden="1" customHeight="1" x14ac:dyDescent="0.25">
      <c r="A30" s="1" t="s">
        <v>34</v>
      </c>
      <c r="B30" s="6">
        <v>0</v>
      </c>
      <c r="C30" s="6">
        <v>-31.4</v>
      </c>
      <c r="D30" s="6">
        <v>114.6</v>
      </c>
      <c r="E30" s="6">
        <v>207</v>
      </c>
      <c r="F30" s="6">
        <v>192</v>
      </c>
      <c r="G30" s="6">
        <v>-155</v>
      </c>
      <c r="H30" s="6">
        <v>-3380</v>
      </c>
      <c r="I30" s="6">
        <v>0</v>
      </c>
      <c r="J30" s="20">
        <f t="shared" si="1"/>
        <v>-1322.6785714285215</v>
      </c>
      <c r="K30" s="20">
        <f t="shared" si="9"/>
        <v>-1656.9321428571129</v>
      </c>
      <c r="L30" s="20">
        <f t="shared" si="10"/>
        <v>-2027.8112244898221</v>
      </c>
      <c r="M30" s="125"/>
      <c r="N30" s="125"/>
      <c r="O30" s="1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hidden="1" customHeight="1" x14ac:dyDescent="0.25">
      <c r="A31" s="1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20">
        <f t="shared" si="1"/>
        <v>0</v>
      </c>
      <c r="K31" s="20">
        <f t="shared" si="9"/>
        <v>0</v>
      </c>
      <c r="L31" s="20">
        <f t="shared" si="10"/>
        <v>0</v>
      </c>
      <c r="M31" s="125"/>
      <c r="N31" s="125"/>
      <c r="O31" s="1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hidden="1" customHeight="1" x14ac:dyDescent="0.25">
      <c r="A32" s="13" t="s">
        <v>36</v>
      </c>
      <c r="B32" s="14">
        <v>-823.3</v>
      </c>
      <c r="C32" s="14">
        <v>-666.7</v>
      </c>
      <c r="D32" s="14">
        <v>-1502.8</v>
      </c>
      <c r="E32" s="14">
        <v>-3103</v>
      </c>
      <c r="F32" s="14">
        <v>-2866</v>
      </c>
      <c r="G32" s="14">
        <v>6008</v>
      </c>
      <c r="H32" s="14">
        <v>-3077</v>
      </c>
      <c r="I32" s="14">
        <v>-382</v>
      </c>
      <c r="J32" s="20">
        <f t="shared" si="1"/>
        <v>-61.939285714237485</v>
      </c>
      <c r="K32" s="20">
        <f t="shared" si="9"/>
        <v>300.14107142860303</v>
      </c>
      <c r="L32" s="20">
        <f t="shared" si="10"/>
        <v>817.61581632657908</v>
      </c>
      <c r="M32" s="125"/>
      <c r="N32" s="125"/>
      <c r="O32" s="1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13" t="s">
        <v>37</v>
      </c>
      <c r="B33" s="96">
        <v>-634.05499999999995</v>
      </c>
      <c r="C33" s="96">
        <v>-673.76</v>
      </c>
      <c r="D33" s="96">
        <v>-719.19</v>
      </c>
      <c r="E33" s="96">
        <v>-912.4</v>
      </c>
      <c r="F33" s="96">
        <v>-1424.1</v>
      </c>
      <c r="G33" s="96">
        <v>2030.05</v>
      </c>
      <c r="H33" s="96">
        <v>-2592.35</v>
      </c>
      <c r="I33" s="96">
        <v>-855.4</v>
      </c>
      <c r="J33" s="97">
        <f>J49-J22</f>
        <v>-114.22142857147264</v>
      </c>
      <c r="K33" s="97">
        <f>K49-K22</f>
        <v>215.98571428572177</v>
      </c>
      <c r="L33" s="97">
        <f>L49-L22</f>
        <v>572.32015306127141</v>
      </c>
      <c r="M33" s="131">
        <f>M49-M24</f>
        <v>1817.348521975355</v>
      </c>
      <c r="N33" s="131">
        <f>N49-N24</f>
        <v>1413.2749262131206</v>
      </c>
      <c r="O33" s="131">
        <f>O49-O24</f>
        <v>969.97503750335625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hidden="1" customHeight="1" x14ac:dyDescent="0.25">
      <c r="A34" s="1" t="s">
        <v>38</v>
      </c>
      <c r="B34" s="6">
        <v>189.245</v>
      </c>
      <c r="C34" s="6">
        <v>45.24</v>
      </c>
      <c r="D34" s="6">
        <v>674.31</v>
      </c>
      <c r="E34" s="6">
        <v>1991.6</v>
      </c>
      <c r="F34" s="6">
        <v>1166.9000000000001</v>
      </c>
      <c r="G34" s="6">
        <v>-3823.95</v>
      </c>
      <c r="H34" s="6">
        <v>3835.65</v>
      </c>
      <c r="I34" s="6">
        <v>-480.4</v>
      </c>
      <c r="J34" s="20">
        <f t="shared" si="1"/>
        <v>446.88089285714295</v>
      </c>
      <c r="K34" s="20">
        <f t="shared" si="9"/>
        <v>352.34508928571449</v>
      </c>
      <c r="L34" s="20">
        <f t="shared" si="10"/>
        <v>131.5071811224625</v>
      </c>
      <c r="M34" s="125"/>
      <c r="N34" s="125"/>
      <c r="O34" s="1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hidden="1" customHeight="1" x14ac:dyDescent="0.25">
      <c r="A35" s="1" t="s">
        <v>39</v>
      </c>
      <c r="B35" s="6">
        <v>0</v>
      </c>
      <c r="C35" s="6">
        <v>-31.4</v>
      </c>
      <c r="D35" s="6">
        <v>114.6</v>
      </c>
      <c r="E35" s="6">
        <v>207</v>
      </c>
      <c r="F35" s="6">
        <v>192</v>
      </c>
      <c r="G35" s="6">
        <v>-155</v>
      </c>
      <c r="H35" s="6">
        <v>-3380</v>
      </c>
      <c r="I35" s="6">
        <v>0</v>
      </c>
      <c r="J35" s="20">
        <f t="shared" si="1"/>
        <v>-1322.6785714285215</v>
      </c>
      <c r="K35" s="20">
        <f t="shared" si="9"/>
        <v>-1656.9321428571129</v>
      </c>
      <c r="L35" s="20">
        <f t="shared" si="10"/>
        <v>-2027.8112244898221</v>
      </c>
      <c r="M35" s="125"/>
      <c r="N35" s="125"/>
      <c r="O35" s="1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hidden="1" customHeight="1" x14ac:dyDescent="0.25">
      <c r="A36" s="1"/>
      <c r="B36" s="6" t="s">
        <v>25</v>
      </c>
      <c r="C36" s="6" t="s">
        <v>25</v>
      </c>
      <c r="D36" s="6" t="s">
        <v>25</v>
      </c>
      <c r="E36" s="6" t="s">
        <v>25</v>
      </c>
      <c r="F36" s="6" t="s">
        <v>25</v>
      </c>
      <c r="G36" s="6" t="s">
        <v>25</v>
      </c>
      <c r="H36" s="6" t="s">
        <v>25</v>
      </c>
      <c r="I36" s="6" t="s">
        <v>25</v>
      </c>
      <c r="J36" s="20" t="e">
        <f t="shared" si="1"/>
        <v>#VALUE!</v>
      </c>
      <c r="K36" s="20" t="e">
        <f t="shared" si="9"/>
        <v>#VALUE!</v>
      </c>
      <c r="L36" s="20" t="e">
        <f t="shared" si="10"/>
        <v>#VALUE!</v>
      </c>
      <c r="M36" s="125"/>
      <c r="N36" s="125"/>
      <c r="O36" s="1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hidden="1" customHeight="1" x14ac:dyDescent="0.25">
      <c r="A37" s="3" t="s">
        <v>40</v>
      </c>
      <c r="B37" s="10">
        <v>99.321884194000006</v>
      </c>
      <c r="C37" s="10">
        <v>125.10000000000042</v>
      </c>
      <c r="D37" s="10">
        <v>125.3</v>
      </c>
      <c r="E37" s="10">
        <v>129</v>
      </c>
      <c r="F37" s="10">
        <v>142</v>
      </c>
      <c r="G37" s="10">
        <v>145</v>
      </c>
      <c r="H37" s="10">
        <v>146</v>
      </c>
      <c r="I37" s="10">
        <v>279</v>
      </c>
      <c r="J37" s="20">
        <f t="shared" si="1"/>
        <v>225.68024323721329</v>
      </c>
      <c r="K37" s="20">
        <f t="shared" si="9"/>
        <v>246.4151216186001</v>
      </c>
      <c r="L37" s="20">
        <f t="shared" si="10"/>
        <v>273.18551350963389</v>
      </c>
      <c r="M37" s="125"/>
      <c r="N37" s="125"/>
      <c r="O37" s="1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hidden="1" customHeight="1" x14ac:dyDescent="0.25">
      <c r="A38" s="3" t="s">
        <v>41</v>
      </c>
      <c r="B38" s="10">
        <v>-8.3696900114810564</v>
      </c>
      <c r="C38" s="10">
        <v>-5.5</v>
      </c>
      <c r="D38" s="10">
        <v>-12.04</v>
      </c>
      <c r="E38" s="10">
        <v>-24.116278999999999</v>
      </c>
      <c r="F38" s="10">
        <v>-19.598592</v>
      </c>
      <c r="G38" s="10">
        <v>41.441378999999998</v>
      </c>
      <c r="H38" s="10">
        <v>-20.876712000000001</v>
      </c>
      <c r="I38" s="10">
        <v>-1.35</v>
      </c>
      <c r="J38" s="20">
        <f t="shared" si="1"/>
        <v>1.0496254314416547</v>
      </c>
      <c r="K38" s="20">
        <f t="shared" si="9"/>
        <v>3.9863232157208586</v>
      </c>
      <c r="L38" s="20">
        <f t="shared" si="10"/>
        <v>8.407046813069428</v>
      </c>
      <c r="M38" s="125"/>
      <c r="N38" s="125"/>
      <c r="O38" s="1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hidden="1" customHeight="1" x14ac:dyDescent="0.25">
      <c r="A39" s="3" t="s">
        <v>42</v>
      </c>
      <c r="B39" s="10">
        <v>-8.3696900114810564</v>
      </c>
      <c r="C39" s="10">
        <v>-5.75</v>
      </c>
      <c r="D39" s="10">
        <v>-11.12</v>
      </c>
      <c r="E39" s="10">
        <v>-22.511628000000002</v>
      </c>
      <c r="F39" s="10">
        <v>-18.246479000000001</v>
      </c>
      <c r="G39" s="10">
        <v>40.372413999999999</v>
      </c>
      <c r="H39" s="10">
        <v>-44.027397000000001</v>
      </c>
      <c r="I39" s="10">
        <v>-1.35</v>
      </c>
      <c r="J39" s="20">
        <f t="shared" si="1"/>
        <v>-7.9917812828440447</v>
      </c>
      <c r="K39" s="20">
        <f t="shared" si="9"/>
        <v>-7.3694062128505493</v>
      </c>
      <c r="L39" s="20">
        <f t="shared" si="10"/>
        <v>-5.5407302532566973</v>
      </c>
      <c r="M39" s="125"/>
      <c r="N39" s="125"/>
      <c r="O39" s="1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hidden="1" customHeight="1" x14ac:dyDescent="0.25">
      <c r="A40" s="3" t="s">
        <v>43</v>
      </c>
      <c r="B40" s="10">
        <v>-6.4623725602755453</v>
      </c>
      <c r="C40" s="10">
        <v>-5.3857715269804824</v>
      </c>
      <c r="D40" s="10">
        <v>-5.7397450000000001</v>
      </c>
      <c r="E40" s="10">
        <v>-7.0728679999999997</v>
      </c>
      <c r="F40" s="10">
        <v>-10.028873000000001</v>
      </c>
      <c r="G40" s="10">
        <v>14.000344999999999</v>
      </c>
      <c r="H40" s="10">
        <v>-17.755821999999998</v>
      </c>
      <c r="I40" s="10">
        <v>-3.06595</v>
      </c>
      <c r="J40" s="20">
        <f t="shared" si="1"/>
        <v>-4.2144729989338998</v>
      </c>
      <c r="K40" s="20">
        <f t="shared" si="9"/>
        <v>-4.1820864391503392</v>
      </c>
      <c r="L40" s="20">
        <f t="shared" si="10"/>
        <v>-3.9898526120134647</v>
      </c>
      <c r="M40" s="125"/>
      <c r="N40" s="125"/>
      <c r="O40" s="1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hidden="1" customHeight="1" x14ac:dyDescent="0.25">
      <c r="A41" s="1"/>
      <c r="B41" s="6" t="s">
        <v>25</v>
      </c>
      <c r="C41" s="6" t="s">
        <v>25</v>
      </c>
      <c r="D41" s="6" t="s">
        <v>25</v>
      </c>
      <c r="E41" s="6" t="s">
        <v>25</v>
      </c>
      <c r="F41" s="6" t="s">
        <v>25</v>
      </c>
      <c r="G41" s="6" t="s">
        <v>25</v>
      </c>
      <c r="H41" s="6" t="s">
        <v>25</v>
      </c>
      <c r="I41" s="6" t="s">
        <v>25</v>
      </c>
      <c r="J41" s="20" t="e">
        <f t="shared" si="1"/>
        <v>#VALUE!</v>
      </c>
      <c r="K41" s="20" t="e">
        <f t="shared" si="9"/>
        <v>#VALUE!</v>
      </c>
      <c r="L41" s="20" t="e">
        <f t="shared" si="10"/>
        <v>#VALUE!</v>
      </c>
      <c r="M41" s="125"/>
      <c r="N41" s="125"/>
      <c r="O41" s="1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hidden="1" customHeight="1" x14ac:dyDescent="0.25">
      <c r="A42" s="3" t="s">
        <v>44</v>
      </c>
      <c r="B42" s="10">
        <v>99.321884194000006</v>
      </c>
      <c r="C42" s="10">
        <v>125.10000000000041</v>
      </c>
      <c r="D42" s="10">
        <v>125.3</v>
      </c>
      <c r="E42" s="10">
        <v>129</v>
      </c>
      <c r="F42" s="10">
        <v>142</v>
      </c>
      <c r="G42" s="10">
        <v>147</v>
      </c>
      <c r="H42" s="10">
        <v>146</v>
      </c>
      <c r="I42" s="10">
        <v>279</v>
      </c>
      <c r="J42" s="20">
        <f t="shared" si="1"/>
        <v>226.25167180864082</v>
      </c>
      <c r="K42" s="20">
        <f t="shared" si="9"/>
        <v>247.05797876146244</v>
      </c>
      <c r="L42" s="20">
        <f t="shared" si="10"/>
        <v>273.87428901984094</v>
      </c>
      <c r="M42" s="125"/>
      <c r="N42" s="125"/>
      <c r="O42" s="1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hidden="1" customHeight="1" x14ac:dyDescent="0.25">
      <c r="A43" s="3" t="s">
        <v>45</v>
      </c>
      <c r="B43" s="10">
        <v>-8.3696900114810564</v>
      </c>
      <c r="C43" s="10">
        <v>-5.5</v>
      </c>
      <c r="D43" s="10">
        <v>-12.04</v>
      </c>
      <c r="E43" s="10">
        <v>-24.116278999999999</v>
      </c>
      <c r="F43" s="10">
        <v>-19.598592</v>
      </c>
      <c r="G43" s="10">
        <v>40.877550999999997</v>
      </c>
      <c r="H43" s="10">
        <v>-20.876712000000001</v>
      </c>
      <c r="I43" s="10">
        <v>-1.35</v>
      </c>
      <c r="J43" s="20">
        <f t="shared" si="1"/>
        <v>0.88853171715572898</v>
      </c>
      <c r="K43" s="20">
        <f t="shared" si="9"/>
        <v>3.8050927871495333</v>
      </c>
      <c r="L43" s="20">
        <f t="shared" si="10"/>
        <v>8.2128713538859301</v>
      </c>
      <c r="M43" s="125"/>
      <c r="N43" s="125"/>
      <c r="O43" s="1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hidden="1" customHeight="1" x14ac:dyDescent="0.25">
      <c r="A44" s="3" t="s">
        <v>46</v>
      </c>
      <c r="B44" s="10">
        <v>-8.3696900114810564</v>
      </c>
      <c r="C44" s="10">
        <v>-5.75</v>
      </c>
      <c r="D44" s="10">
        <v>-11.12</v>
      </c>
      <c r="E44" s="10">
        <v>-22.511628000000002</v>
      </c>
      <c r="F44" s="10">
        <v>-18.246479000000001</v>
      </c>
      <c r="G44" s="10">
        <v>39.823129000000002</v>
      </c>
      <c r="H44" s="10">
        <v>-44.027397000000001</v>
      </c>
      <c r="I44" s="10">
        <v>-1.35</v>
      </c>
      <c r="J44" s="20">
        <f t="shared" si="1"/>
        <v>-8.1487198542725992</v>
      </c>
      <c r="K44" s="20">
        <f t="shared" si="9"/>
        <v>-7.5459621057077584</v>
      </c>
      <c r="L44" s="20">
        <f t="shared" si="10"/>
        <v>-5.7298972813180171</v>
      </c>
      <c r="M44" s="125"/>
      <c r="N44" s="125"/>
      <c r="O44" s="1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hidden="1" customHeight="1" x14ac:dyDescent="0.25">
      <c r="A45" s="3" t="s">
        <v>47</v>
      </c>
      <c r="B45" s="10">
        <v>-6.4643191733639496</v>
      </c>
      <c r="C45" s="10">
        <v>-5.3883691159586684</v>
      </c>
      <c r="D45" s="10">
        <v>-5.7397450000000001</v>
      </c>
      <c r="E45" s="10">
        <v>-7.0728679999999997</v>
      </c>
      <c r="F45" s="10">
        <v>-10.028873000000001</v>
      </c>
      <c r="G45" s="10">
        <v>13.809863999999999</v>
      </c>
      <c r="H45" s="10">
        <v>-17.755821999999998</v>
      </c>
      <c r="I45" s="10">
        <v>-3.0718640000000001</v>
      </c>
      <c r="J45" s="20">
        <f t="shared" si="1"/>
        <v>-4.2709954043792209</v>
      </c>
      <c r="K45" s="20">
        <f t="shared" si="9"/>
        <v>-4.2460360660571155</v>
      </c>
      <c r="L45" s="20">
        <f t="shared" si="10"/>
        <v>-4.0593281561775711</v>
      </c>
      <c r="M45" s="125"/>
      <c r="N45" s="125"/>
      <c r="O45" s="1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hidden="1" customHeight="1" x14ac:dyDescent="0.25">
      <c r="A46" s="1"/>
      <c r="B46" s="6" t="s">
        <v>25</v>
      </c>
      <c r="C46" s="6" t="s">
        <v>25</v>
      </c>
      <c r="D46" s="6" t="s">
        <v>25</v>
      </c>
      <c r="E46" s="6" t="s">
        <v>25</v>
      </c>
      <c r="F46" s="6" t="s">
        <v>25</v>
      </c>
      <c r="G46" s="6" t="s">
        <v>25</v>
      </c>
      <c r="H46" s="6" t="s">
        <v>25</v>
      </c>
      <c r="I46" s="6" t="s">
        <v>25</v>
      </c>
      <c r="J46" s="20" t="e">
        <f t="shared" si="1"/>
        <v>#VALUE!</v>
      </c>
      <c r="K46" s="20" t="e">
        <f t="shared" si="9"/>
        <v>#VALUE!</v>
      </c>
      <c r="L46" s="20" t="e">
        <f t="shared" si="10"/>
        <v>#VALUE!</v>
      </c>
      <c r="M46" s="125"/>
      <c r="N46" s="125"/>
      <c r="O46" s="1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hidden="1" customHeight="1" x14ac:dyDescent="0.25">
      <c r="A47" s="3" t="s">
        <v>48</v>
      </c>
      <c r="B47" s="6" t="s">
        <v>25</v>
      </c>
      <c r="C47" s="6" t="s">
        <v>25</v>
      </c>
      <c r="D47" s="6" t="s">
        <v>25</v>
      </c>
      <c r="E47" s="6" t="s">
        <v>25</v>
      </c>
      <c r="F47" s="6" t="s">
        <v>25</v>
      </c>
      <c r="G47" s="6" t="s">
        <v>25</v>
      </c>
      <c r="H47" s="6" t="s">
        <v>25</v>
      </c>
      <c r="I47" s="6" t="s">
        <v>25</v>
      </c>
      <c r="J47" s="20" t="e">
        <f t="shared" si="1"/>
        <v>#VALUE!</v>
      </c>
      <c r="K47" s="20" t="e">
        <f t="shared" si="9"/>
        <v>#VALUE!</v>
      </c>
      <c r="L47" s="20" t="e">
        <f t="shared" si="10"/>
        <v>#VALUE!</v>
      </c>
      <c r="M47" s="125"/>
      <c r="N47" s="125"/>
      <c r="O47" s="1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hidden="1" customHeight="1" x14ac:dyDescent="0.25">
      <c r="A48" s="3" t="s">
        <v>49</v>
      </c>
      <c r="B48" s="6" t="s">
        <v>25</v>
      </c>
      <c r="C48" s="6" t="s">
        <v>25</v>
      </c>
      <c r="D48" s="6" t="s">
        <v>25</v>
      </c>
      <c r="E48" s="6" t="s">
        <v>25</v>
      </c>
      <c r="F48" s="6" t="s">
        <v>25</v>
      </c>
      <c r="G48" s="6" t="s">
        <v>25</v>
      </c>
      <c r="H48" s="6" t="s">
        <v>25</v>
      </c>
      <c r="I48" s="6" t="s">
        <v>25</v>
      </c>
      <c r="J48" s="20" t="e">
        <f t="shared" si="1"/>
        <v>#VALUE!</v>
      </c>
      <c r="K48" s="20" t="e">
        <f t="shared" si="9"/>
        <v>#VALUE!</v>
      </c>
      <c r="L48" s="20" t="e">
        <f t="shared" si="10"/>
        <v>#VALUE!</v>
      </c>
      <c r="M48" s="125"/>
      <c r="N48" s="125"/>
      <c r="O48" s="1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3" t="s">
        <v>50</v>
      </c>
      <c r="B49" s="10">
        <v>888.6</v>
      </c>
      <c r="C49" s="10">
        <v>933.8</v>
      </c>
      <c r="D49" s="10">
        <v>853.5</v>
      </c>
      <c r="E49" s="10">
        <v>845</v>
      </c>
      <c r="F49" s="10">
        <v>778</v>
      </c>
      <c r="G49" s="10">
        <v>540</v>
      </c>
      <c r="H49" s="10">
        <v>399</v>
      </c>
      <c r="I49" s="10">
        <v>686</v>
      </c>
      <c r="J49" s="20">
        <f t="shared" ref="J49:J54" si="15">TREND(B49:I49,B$3:I$3,J$3)</f>
        <v>467.28928571430151</v>
      </c>
      <c r="K49" s="20">
        <f t="shared" si="9"/>
        <v>383.58749999999418</v>
      </c>
      <c r="L49" s="20">
        <f t="shared" si="10"/>
        <v>319.31811224491685</v>
      </c>
      <c r="M49" s="128">
        <f>-(M20-M21)</f>
        <v>937.35566483249409</v>
      </c>
      <c r="N49" s="128">
        <f>-(N20-N21)</f>
        <v>537.45349764168577</v>
      </c>
      <c r="O49" s="128">
        <f>-(O20-O21)</f>
        <v>120.90641505437259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idden="1" x14ac:dyDescent="0.25">
      <c r="A50" s="3" t="s">
        <v>51</v>
      </c>
      <c r="B50" s="10">
        <v>125980.00000000001</v>
      </c>
      <c r="C50" s="10">
        <v>122475.71428571428</v>
      </c>
      <c r="D50" s="10">
        <v>126182.35294117646</v>
      </c>
      <c r="E50" s="10">
        <v>120882.35294117648</v>
      </c>
      <c r="F50" s="10">
        <v>125235.29411764705</v>
      </c>
      <c r="G50" s="10">
        <v>57779.411764705881</v>
      </c>
      <c r="H50" s="10">
        <v>57014.705882352937</v>
      </c>
      <c r="I50" s="10">
        <v>74646.153846153844</v>
      </c>
      <c r="J50" s="20">
        <f t="shared" si="15"/>
        <v>53729.970680579543</v>
      </c>
      <c r="K50" s="1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idden="1" x14ac:dyDescent="0.25">
      <c r="A51" s="3" t="s">
        <v>52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20">
        <f t="shared" si="15"/>
        <v>0</v>
      </c>
      <c r="K51" s="16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idden="1" x14ac:dyDescent="0.25">
      <c r="A52" s="3" t="s">
        <v>53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20">
        <f t="shared" si="15"/>
        <v>0</v>
      </c>
      <c r="K52" s="1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idden="1" x14ac:dyDescent="0.25">
      <c r="A53" s="3" t="s">
        <v>54</v>
      </c>
      <c r="B53" s="10" t="s">
        <v>25</v>
      </c>
      <c r="C53" s="10">
        <v>724.69999999999993</v>
      </c>
      <c r="D53" s="10">
        <v>751.6</v>
      </c>
      <c r="E53" s="10">
        <v>572</v>
      </c>
      <c r="F53" s="10">
        <v>574</v>
      </c>
      <c r="G53" s="10">
        <v>301</v>
      </c>
      <c r="H53" s="10">
        <v>369</v>
      </c>
      <c r="I53" s="10">
        <v>557</v>
      </c>
      <c r="J53" s="20" t="e">
        <f t="shared" si="15"/>
        <v>#VALUE!</v>
      </c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idden="1" x14ac:dyDescent="0.25">
      <c r="A54" s="3" t="s">
        <v>55</v>
      </c>
      <c r="B54" s="10">
        <v>164</v>
      </c>
      <c r="C54" s="10">
        <v>181.2</v>
      </c>
      <c r="D54" s="10">
        <v>194.5</v>
      </c>
      <c r="E54" s="10">
        <v>131</v>
      </c>
      <c r="F54" s="10">
        <v>137</v>
      </c>
      <c r="G54" s="10">
        <v>72</v>
      </c>
      <c r="H54" s="10">
        <v>74</v>
      </c>
      <c r="I54" s="10">
        <v>84</v>
      </c>
      <c r="J54" s="20">
        <f t="shared" si="15"/>
        <v>51.632142857146391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3" t="s">
        <v>134</v>
      </c>
      <c r="B56" s="23">
        <v>0.35</v>
      </c>
      <c r="C56" s="23">
        <v>0.35</v>
      </c>
      <c r="D56" s="23">
        <v>0.35</v>
      </c>
      <c r="E56" s="23">
        <v>0.35</v>
      </c>
      <c r="F56" s="23">
        <v>0.35</v>
      </c>
      <c r="G56" s="23">
        <v>0.35</v>
      </c>
      <c r="H56" s="23">
        <v>0.35</v>
      </c>
      <c r="I56" s="23">
        <v>0.35</v>
      </c>
      <c r="J56" s="23">
        <v>0.35</v>
      </c>
      <c r="K56" s="23">
        <v>0.35</v>
      </c>
      <c r="L56" s="23">
        <v>0.35</v>
      </c>
      <c r="M56" s="23">
        <v>0.35</v>
      </c>
      <c r="N56" s="23">
        <v>0.35</v>
      </c>
      <c r="O56" s="23">
        <v>0.35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"/>
      <c r="B59" s="1">
        <v>1</v>
      </c>
      <c r="C59" s="1">
        <v>2</v>
      </c>
      <c r="D59" s="1">
        <v>3</v>
      </c>
      <c r="E59" s="1">
        <v>4</v>
      </c>
      <c r="F59" s="1">
        <v>5</v>
      </c>
      <c r="G59" s="1">
        <v>6</v>
      </c>
      <c r="H59" s="1">
        <v>7</v>
      </c>
      <c r="I59" s="1">
        <v>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"/>
      <c r="B60" s="23">
        <f>B10/B7</f>
        <v>0.54766062640328383</v>
      </c>
      <c r="C60" s="23">
        <f>C10/C7</f>
        <v>0.53231544446129264</v>
      </c>
      <c r="D60" s="23">
        <f>D10/D7</f>
        <v>0.53322688918931527</v>
      </c>
      <c r="E60" s="23">
        <f>E10/E7</f>
        <v>0.52493917274939172</v>
      </c>
      <c r="F60" s="23">
        <f>F10/F7</f>
        <v>0.52900422733677788</v>
      </c>
      <c r="G60" s="23">
        <f>G10/G7</f>
        <v>0.46576737083227282</v>
      </c>
      <c r="H60" s="23">
        <f>H10/H7</f>
        <v>0.45395924684034045</v>
      </c>
      <c r="I60" s="23">
        <f>I10/I7</f>
        <v>0.47217642209398186</v>
      </c>
      <c r="J60" s="52">
        <f>AVERAGE(B60:I60)</f>
        <v>0.50738117498833202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23">
        <f>SUMPRODUCT(B59:I59,B60:I60)/SUM(B59:I59)</f>
        <v>0.49184667611675409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1"/>
      <c r="B64" s="1"/>
      <c r="C64" s="1"/>
      <c r="D64" s="1"/>
      <c r="E64" s="1"/>
      <c r="F64" s="1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6"/>
      <c r="C72" s="6"/>
      <c r="D72" s="6"/>
      <c r="E72" s="6"/>
      <c r="F72" s="6"/>
      <c r="G72" s="6"/>
      <c r="H72" s="6"/>
      <c r="I72" s="6"/>
      <c r="J72" s="1"/>
      <c r="K72" s="1"/>
      <c r="L72" s="6"/>
      <c r="M72" s="6"/>
      <c r="N72" s="6"/>
      <c r="O72" s="6"/>
      <c r="P72" s="6"/>
      <c r="Q72" s="6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J76" s="6"/>
      <c r="K76" s="6"/>
    </row>
  </sheetData>
  <mergeCells count="2">
    <mergeCell ref="J2:L2"/>
    <mergeCell ref="M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37"/>
  <sheetViews>
    <sheetView zoomScale="76" workbookViewId="0">
      <selection activeCell="S7" sqref="S7"/>
    </sheetView>
  </sheetViews>
  <sheetFormatPr defaultRowHeight="15" x14ac:dyDescent="0.25"/>
  <cols>
    <col min="2" max="2" width="36.140625" bestFit="1" customWidth="1"/>
    <col min="3" max="10" width="15.42578125" bestFit="1" customWidth="1"/>
    <col min="11" max="11" width="10.7109375" style="7" customWidth="1"/>
    <col min="13" max="13" width="10.7109375" bestFit="1" customWidth="1"/>
  </cols>
  <sheetData>
    <row r="3" spans="1:16" x14ac:dyDescent="0.25">
      <c r="C3" s="113" t="s">
        <v>156</v>
      </c>
      <c r="D3" s="113"/>
      <c r="E3" s="113"/>
      <c r="F3" s="113"/>
      <c r="G3" s="113"/>
      <c r="H3" s="113"/>
      <c r="I3" s="113"/>
      <c r="J3" s="113"/>
      <c r="K3" s="113" t="s">
        <v>121</v>
      </c>
      <c r="L3" s="113"/>
      <c r="M3" s="113"/>
      <c r="N3" s="113" t="s">
        <v>178</v>
      </c>
      <c r="O3" s="113"/>
      <c r="P3" s="113"/>
    </row>
    <row r="4" spans="1:16" ht="15.75" thickBot="1" x14ac:dyDescent="0.3">
      <c r="B4" s="34"/>
      <c r="C4" s="35">
        <v>2010</v>
      </c>
      <c r="D4" s="35">
        <v>2011</v>
      </c>
      <c r="E4" s="35">
        <v>2012</v>
      </c>
      <c r="F4" s="35">
        <v>2013</v>
      </c>
      <c r="G4" s="35">
        <v>2014</v>
      </c>
      <c r="H4" s="35">
        <v>2015</v>
      </c>
      <c r="I4" s="35">
        <v>2016</v>
      </c>
      <c r="J4" s="35">
        <v>2017</v>
      </c>
      <c r="K4" s="28">
        <v>2018</v>
      </c>
      <c r="L4" s="28">
        <v>2019</v>
      </c>
      <c r="M4" s="28">
        <v>2020</v>
      </c>
      <c r="N4" s="123">
        <v>2018</v>
      </c>
      <c r="O4" s="123">
        <v>2019</v>
      </c>
      <c r="P4" s="123">
        <v>2020</v>
      </c>
    </row>
    <row r="5" spans="1:16" x14ac:dyDescent="0.25">
      <c r="B5" s="25" t="s">
        <v>10</v>
      </c>
      <c r="C5" s="36">
        <f>'Income Statement'!B7/'Income Statement'!B$7</f>
        <v>1</v>
      </c>
      <c r="D5" s="36">
        <f>'Income Statement'!C7/'Income Statement'!C$7</f>
        <v>1</v>
      </c>
      <c r="E5" s="36">
        <f>'Income Statement'!D7/'Income Statement'!D$7</f>
        <v>1</v>
      </c>
      <c r="F5" s="36">
        <f>'Income Statement'!E7/'Income Statement'!E$7</f>
        <v>1</v>
      </c>
      <c r="G5" s="36">
        <f>'Income Statement'!F7/'Income Statement'!F$7</f>
        <v>1</v>
      </c>
      <c r="H5" s="36">
        <f>'Income Statement'!G7/'Income Statement'!G$7</f>
        <v>1</v>
      </c>
      <c r="I5" s="36">
        <f>'Income Statement'!H7/'Income Statement'!H$7</f>
        <v>1</v>
      </c>
      <c r="J5" s="36">
        <f>'Income Statement'!I7/'Income Statement'!I$7</f>
        <v>1</v>
      </c>
      <c r="K5" s="29">
        <f>'Income Statement'!J7/'Income Statement'!J$7</f>
        <v>1</v>
      </c>
      <c r="L5" s="29">
        <f>'Income Statement'!K7/'Income Statement'!K$7</f>
        <v>1</v>
      </c>
      <c r="M5" s="29">
        <f>'Income Statement'!L7/'Income Statement'!L$7</f>
        <v>1</v>
      </c>
      <c r="N5" s="118">
        <f>'Income Statement'!M7/'Income Statement'!M$7</f>
        <v>1</v>
      </c>
      <c r="O5" s="118">
        <f>'Income Statement'!N7/'Income Statement'!N$7</f>
        <v>1</v>
      </c>
      <c r="P5" s="118">
        <f>'Income Statement'!O7/'Income Statement'!O$7</f>
        <v>1</v>
      </c>
    </row>
    <row r="6" spans="1:16" s="7" customFormat="1" x14ac:dyDescent="0.25">
      <c r="A6"/>
      <c r="B6" s="26" t="s">
        <v>122</v>
      </c>
      <c r="C6" s="37">
        <f>'Income Statement'!B10/'Income Statement'!B$7</f>
        <v>0.54766062640328383</v>
      </c>
      <c r="D6" s="37">
        <f>'Income Statement'!C10/'Income Statement'!C$7</f>
        <v>0.53231544446129264</v>
      </c>
      <c r="E6" s="37">
        <f>'Income Statement'!D10/'Income Statement'!D$7</f>
        <v>0.53322688918931527</v>
      </c>
      <c r="F6" s="37">
        <f>'Income Statement'!E10/'Income Statement'!E$7</f>
        <v>0.52493917274939172</v>
      </c>
      <c r="G6" s="37">
        <f>'Income Statement'!F10/'Income Statement'!F$7</f>
        <v>0.52900422733677788</v>
      </c>
      <c r="H6" s="37">
        <f>'Income Statement'!G10/'Income Statement'!G$7</f>
        <v>0.46576737083227282</v>
      </c>
      <c r="I6" s="37">
        <f>'Income Statement'!H10/'Income Statement'!H$7</f>
        <v>0.45395924684034045</v>
      </c>
      <c r="J6" s="37">
        <f>'Income Statement'!I10/'Income Statement'!I$7</f>
        <v>0.47217642209398186</v>
      </c>
      <c r="K6" s="30">
        <f>'Income Statement'!J10/'Income Statement'!J$7</f>
        <v>0.49184667611675409</v>
      </c>
      <c r="L6" s="30">
        <f>'Income Statement'!K10/'Income Statement'!K$7</f>
        <v>0.49184667611675414</v>
      </c>
      <c r="M6" s="30">
        <f>'Income Statement'!L10/'Income Statement'!L$7</f>
        <v>0.49184667611675403</v>
      </c>
      <c r="N6" s="119">
        <f>'Income Statement'!M10/'Income Statement'!M$7</f>
        <v>0.49184667611675409</v>
      </c>
      <c r="O6" s="119">
        <f>'Income Statement'!N10/'Income Statement'!N$7</f>
        <v>0.49184667611675403</v>
      </c>
      <c r="P6" s="119">
        <f>'Income Statement'!O10/'Income Statement'!O$7</f>
        <v>0.49184667611675409</v>
      </c>
    </row>
    <row r="7" spans="1:16" s="3" customFormat="1" x14ac:dyDescent="0.25">
      <c r="B7" s="27" t="s">
        <v>15</v>
      </c>
      <c r="C7" s="38">
        <f>'Income Statement'!B12/'Income Statement'!B$7</f>
        <v>0.452339373596716</v>
      </c>
      <c r="D7" s="38">
        <f>'Income Statement'!C12/'Income Statement'!C$7</f>
        <v>0.46768455553870736</v>
      </c>
      <c r="E7" s="38">
        <f>'Income Statement'!D12/'Income Statement'!D$7</f>
        <v>0.46677311081068479</v>
      </c>
      <c r="F7" s="38">
        <f>'Income Statement'!E12/'Income Statement'!E$7</f>
        <v>0.47506082725060828</v>
      </c>
      <c r="G7" s="38">
        <f>'Income Statement'!F12/'Income Statement'!F$7</f>
        <v>0.47099577266322218</v>
      </c>
      <c r="H7" s="38">
        <f>'Income Statement'!G12/'Income Statement'!G$7</f>
        <v>0.53423262916772718</v>
      </c>
      <c r="I7" s="38">
        <f>'Income Statement'!H12/'Income Statement'!H$7</f>
        <v>0.5460407531596595</v>
      </c>
      <c r="J7" s="38">
        <f>'Income Statement'!I12/'Income Statement'!I$7</f>
        <v>0.52782357790601808</v>
      </c>
      <c r="K7" s="31">
        <f>'Income Statement'!J12/'Income Statement'!J$7</f>
        <v>0.50815332388324597</v>
      </c>
      <c r="L7" s="31">
        <f>'Income Statement'!K12/'Income Statement'!K$7</f>
        <v>0.50815332388324586</v>
      </c>
      <c r="M7" s="31">
        <f>'Income Statement'!L12/'Income Statement'!L$7</f>
        <v>0.50815332388324597</v>
      </c>
      <c r="N7" s="120">
        <f>'Income Statement'!M12/'Income Statement'!M$7</f>
        <v>0.50815332388324597</v>
      </c>
      <c r="O7" s="120">
        <f>'Income Statement'!N12/'Income Statement'!N$7</f>
        <v>0.50815332388324597</v>
      </c>
      <c r="P7" s="120">
        <f>'Income Statement'!O12/'Income Statement'!O$7</f>
        <v>0.50815332388324597</v>
      </c>
    </row>
    <row r="8" spans="1:16" s="7" customFormat="1" x14ac:dyDescent="0.25">
      <c r="A8"/>
      <c r="B8" s="25" t="s">
        <v>126</v>
      </c>
      <c r="C8" s="36">
        <f>'Income Statement'!B14/'Income Statement'!B$7</f>
        <v>0.35157507994466236</v>
      </c>
      <c r="D8" s="36">
        <f>'Income Statement'!C14/'Income Statement'!C$7</f>
        <v>0.3587650029743506</v>
      </c>
      <c r="E8" s="36">
        <f>'Income Statement'!D14/'Income Statement'!D$7</f>
        <v>0.36730222367255605</v>
      </c>
      <c r="F8" s="36">
        <f>'Income Statement'!E14/'Income Statement'!E$7</f>
        <v>0.37226277372262773</v>
      </c>
      <c r="G8" s="36">
        <f>'Income Statement'!F14/'Income Statement'!F$7</f>
        <v>0.37963832785345231</v>
      </c>
      <c r="H8" s="36">
        <f>'Income Statement'!G14/'Income Statement'!G$7</f>
        <v>0.39679307711885975</v>
      </c>
      <c r="I8" s="36">
        <f>'Income Statement'!H14/'Income Statement'!H$7</f>
        <v>0.44312612844983235</v>
      </c>
      <c r="J8" s="36">
        <f>'Income Statement'!I14/'Income Statement'!I$7</f>
        <v>0.38643858202802966</v>
      </c>
      <c r="K8" s="29">
        <f>'Income Statement'!J14/'Income Statement'!J$7</f>
        <v>0.44333106555266666</v>
      </c>
      <c r="L8" s="29">
        <f>'Income Statement'!K14/'Income Statement'!K$7</f>
        <v>0.49169313223993238</v>
      </c>
      <c r="M8" s="29">
        <f>'Income Statement'!L14/'Income Statement'!L$7</f>
        <v>0.62415498949038695</v>
      </c>
      <c r="N8" s="118">
        <f>'Income Statement'!M14/'Income Statement'!M$7</f>
        <v>0.40257116530019893</v>
      </c>
      <c r="O8" s="118">
        <f>'Income Statement'!N14/'Income Statement'!N$7</f>
        <v>0.42893184105235044</v>
      </c>
      <c r="P8" s="118">
        <f>'Income Statement'!O14/'Income Statement'!O$7</f>
        <v>0.49053934251184367</v>
      </c>
    </row>
    <row r="9" spans="1:16" s="7" customFormat="1" x14ac:dyDescent="0.25">
      <c r="A9"/>
      <c r="B9" s="25" t="s">
        <v>127</v>
      </c>
      <c r="C9" s="36">
        <f>'Income Statement'!B16/'Income Statement'!B$7</f>
        <v>0.23378994398203792</v>
      </c>
      <c r="D9" s="36">
        <f>'Income Statement'!C16/'Income Statement'!C$7</f>
        <v>0.24341852028973676</v>
      </c>
      <c r="E9" s="36">
        <f>'Income Statement'!D16/'Income Statement'!D$7</f>
        <v>0.23815906018367444</v>
      </c>
      <c r="F9" s="36">
        <f>'Income Statement'!E16/'Income Statement'!E$7</f>
        <v>0.2475669099756691</v>
      </c>
      <c r="G9" s="36">
        <f>'Income Statement'!F16/'Income Statement'!F$7</f>
        <v>0.25234852043212774</v>
      </c>
      <c r="H9" s="36">
        <f>'Income Statement'!G16/'Income Statement'!G$7</f>
        <v>0.2680071264952914</v>
      </c>
      <c r="I9" s="36">
        <f>'Income Statement'!H16/'Income Statement'!H$7</f>
        <v>0.30074800103172555</v>
      </c>
      <c r="J9" s="36">
        <f>'Income Statement'!I16/'Income Statement'!I$7</f>
        <v>0.23351195383347073</v>
      </c>
      <c r="K9" s="29">
        <f>'Income Statement'!J16/'Income Statement'!J$7</f>
        <v>0.28109417650523072</v>
      </c>
      <c r="L9" s="29">
        <f>'Income Statement'!K16/'Income Statement'!K$7</f>
        <v>0.30108105434645688</v>
      </c>
      <c r="M9" s="29">
        <f>'Income Statement'!L16/'Income Statement'!L$7</f>
        <v>0.3654640435709553</v>
      </c>
      <c r="N9" s="118">
        <f>'Income Statement'!M16/'Income Statement'!M$7</f>
        <v>6.3812587808245613E-2</v>
      </c>
      <c r="O9" s="118">
        <f>'Income Statement'!N16/'Income Statement'!N$7</f>
        <v>6.5662525302361885E-2</v>
      </c>
      <c r="P9" s="118">
        <f>'Income Statement'!O16/'Income Statement'!O$7</f>
        <v>7.1806880768265233E-2</v>
      </c>
    </row>
    <row r="10" spans="1:16" s="7" customFormat="1" x14ac:dyDescent="0.25">
      <c r="A10"/>
      <c r="B10" s="25" t="s">
        <v>128</v>
      </c>
      <c r="C10" s="36">
        <f>'Income Statement'!B18/'Income Statement'!B$7</f>
        <v>0.10163744812101694</v>
      </c>
      <c r="D10" s="36">
        <f>'Income Statement'!C18/'Income Statement'!C$7</f>
        <v>9.7372073763894881E-2</v>
      </c>
      <c r="E10" s="36">
        <f>'Income Statement'!D18/'Income Statement'!D$7</f>
        <v>0.10360822339284882</v>
      </c>
      <c r="F10" s="36">
        <f>'Income Statement'!E18/'Income Statement'!E$7</f>
        <v>8.5279805352798055E-2</v>
      </c>
      <c r="G10" s="36">
        <f>'Income Statement'!F18/'Income Statement'!F$7</f>
        <v>7.4682949741662757E-2</v>
      </c>
      <c r="H10" s="36">
        <f>'Income Statement'!G18/'Income Statement'!G$7</f>
        <v>9.5189615678289638E-2</v>
      </c>
      <c r="I10" s="36">
        <f>'Income Statement'!H18/'Income Statement'!H$7</f>
        <v>0.11323188031983493</v>
      </c>
      <c r="J10" s="36">
        <f>'Income Statement'!I18/'Income Statement'!I$7</f>
        <v>0.12943116240725475</v>
      </c>
      <c r="K10" s="29">
        <f>'Income Statement'!J18/'Income Statement'!J$7</f>
        <v>0.1108934364343848</v>
      </c>
      <c r="L10" s="29">
        <f>'Income Statement'!K18/'Income Statement'!K$7</f>
        <v>0.13200688229802574</v>
      </c>
      <c r="M10" s="29">
        <f>'Income Statement'!L18/'Income Statement'!L$7</f>
        <v>0.19275257446586896</v>
      </c>
      <c r="N10" s="118">
        <f>'Income Statement'!M18/'Income Statement'!M$7</f>
        <v>0.10069788336145914</v>
      </c>
      <c r="O10" s="118">
        <f>'Income Statement'!N18/'Income Statement'!N$7</f>
        <v>0.11515709970918037</v>
      </c>
      <c r="P10" s="118">
        <f>'Income Statement'!O18/'Income Statement'!O$7</f>
        <v>0.15148916973835844</v>
      </c>
    </row>
    <row r="11" spans="1:16" s="7" customFormat="1" x14ac:dyDescent="0.25">
      <c r="A11"/>
      <c r="B11" s="25" t="s">
        <v>129</v>
      </c>
      <c r="C11" s="37">
        <f>'Income Statement'!B19/'Income Statement'!B$7</f>
        <v>1.614768784160751E-2</v>
      </c>
      <c r="D11" s="37">
        <f>'Income Statement'!C19/'Income Statement'!C$7</f>
        <v>1.7974408920718978E-2</v>
      </c>
      <c r="E11" s="37">
        <f>'Income Statement'!D19/'Income Statement'!D$7</f>
        <v>2.553494009603282E-2</v>
      </c>
      <c r="F11" s="37">
        <f>'Income Statement'!E19/'Income Statement'!E$7</f>
        <v>3.9416058394160583E-2</v>
      </c>
      <c r="G11" s="37">
        <f>'Income Statement'!F19/'Income Statement'!F$7</f>
        <v>5.2606857679661813E-2</v>
      </c>
      <c r="H11" s="37">
        <f>'Income Statement'!G19/'Income Statement'!G$7</f>
        <v>3.3596334945278694E-2</v>
      </c>
      <c r="I11" s="37">
        <f>'Income Statement'!H19/'Income Statement'!H$7</f>
        <v>2.914624709827186E-2</v>
      </c>
      <c r="J11" s="37">
        <f>'Income Statement'!I19/'Income Statement'!I$7</f>
        <v>2.3495465787304205E-2</v>
      </c>
      <c r="K11" s="30">
        <f>'Income Statement'!J19/'Income Statement'!J$7</f>
        <v>5.1343452613062231E-2</v>
      </c>
      <c r="L11" s="30">
        <f>'Income Statement'!K19/'Income Statement'!K$7</f>
        <v>5.8605195595448245E-2</v>
      </c>
      <c r="M11" s="30">
        <f>'Income Statement'!L19/'Income Statement'!L$7</f>
        <v>6.5938371453670652E-2</v>
      </c>
      <c r="N11" s="119">
        <f>'Income Statement'!M19/'Income Statement'!M$7</f>
        <v>4.662293070576741E-2</v>
      </c>
      <c r="O11" s="119">
        <f>'Income Statement'!N19/'Income Statement'!N$7</f>
        <v>5.1124640133721158E-2</v>
      </c>
      <c r="P11" s="119">
        <f>'Income Statement'!O19/'Income Statement'!O$7</f>
        <v>5.1822649700509205E-2</v>
      </c>
    </row>
    <row r="12" spans="1:16" s="3" customFormat="1" x14ac:dyDescent="0.25">
      <c r="B12" s="27" t="s">
        <v>23</v>
      </c>
      <c r="C12" s="38">
        <f>'Income Statement'!B20/'Income Statement'!B$7</f>
        <v>0.1007642936520536</v>
      </c>
      <c r="D12" s="38">
        <f>'Income Statement'!C20/'Income Statement'!C$7</f>
        <v>0.10891955256435679</v>
      </c>
      <c r="E12" s="38">
        <f>'Income Statement'!D20/'Income Statement'!D$7</f>
        <v>9.9470887138128766E-2</v>
      </c>
      <c r="F12" s="38">
        <f>'Income Statement'!E20/'Income Statement'!E$7</f>
        <v>0.10279805352798053</v>
      </c>
      <c r="G12" s="38">
        <f>'Income Statement'!F20/'Income Statement'!F$7</f>
        <v>9.1357444809769844E-2</v>
      </c>
      <c r="H12" s="38">
        <f>'Income Statement'!G20/'Income Statement'!G$7</f>
        <v>0.1374395520488674</v>
      </c>
      <c r="I12" s="38">
        <f>'Income Statement'!H20/'Income Statement'!H$7</f>
        <v>0.10291462470982718</v>
      </c>
      <c r="J12" s="38">
        <f>'Income Statement'!I20/'Income Statement'!I$7</f>
        <v>0.14138499587798845</v>
      </c>
      <c r="K12" s="31">
        <f>'Income Statement'!J20/'Income Statement'!J$7</f>
        <v>0.13569452165039159</v>
      </c>
      <c r="L12" s="31">
        <f>'Income Statement'!K20/'Income Statement'!K$7</f>
        <v>0.1609733835517218</v>
      </c>
      <c r="M12" s="31">
        <f>'Income Statement'!L20/'Income Statement'!L$7</f>
        <v>0.24945549247613816</v>
      </c>
      <c r="N12" s="120">
        <f>'Income Statement'!M20/'Income Statement'!M$7</f>
        <v>-0.10555124329242518</v>
      </c>
      <c r="O12" s="120">
        <f>'Income Statement'!N20/'Income Statement'!N$7</f>
        <v>-0.15272278231436789</v>
      </c>
      <c r="P12" s="120">
        <f>'Income Statement'!O20/'Income Statement'!O$7</f>
        <v>-0.25750471883573062</v>
      </c>
    </row>
    <row r="13" spans="1:16" s="7" customFormat="1" x14ac:dyDescent="0.25">
      <c r="A13"/>
      <c r="B13" s="25" t="s">
        <v>130</v>
      </c>
      <c r="C13" s="36">
        <f>'Income Statement'!B21/'Income Statement'!B$7</f>
        <v>0.21997822783661805</v>
      </c>
      <c r="D13" s="36">
        <f>'Income Statement'!C21/'Income Statement'!C$7</f>
        <v>0.24459659640978387</v>
      </c>
      <c r="E13" s="36">
        <f>'Income Statement'!D21/'Income Statement'!D$7</f>
        <v>0.24180690876882199</v>
      </c>
      <c r="F13" s="36">
        <f>'Income Statement'!E21/'Income Statement'!E$7</f>
        <v>0.26690997566909974</v>
      </c>
      <c r="G13" s="36">
        <f>'Income Statement'!F21/'Income Statement'!F$7</f>
        <v>0.30225457961484264</v>
      </c>
      <c r="H13" s="36">
        <f>'Income Statement'!G21/'Income Statement'!G$7</f>
        <v>0.17205395775006363</v>
      </c>
      <c r="I13" s="36">
        <f>'Income Statement'!H21/'Income Statement'!H$7</f>
        <v>0.16198091307712148</v>
      </c>
      <c r="J13" s="36">
        <f>'Income Statement'!I21/'Income Statement'!I$7</f>
        <v>0.13994229183841714</v>
      </c>
      <c r="K13" s="29">
        <f>'Income Statement'!J21/'Income Statement'!J$7</f>
        <v>0.15595727999069461</v>
      </c>
      <c r="L13" s="29">
        <f>'Income Statement'!K21/'Income Statement'!K$7</f>
        <v>5.0474431933156365E-2</v>
      </c>
      <c r="M13" s="29">
        <f>'Income Statement'!L21/'Income Statement'!L$7</f>
        <v>-0.23319151259799056</v>
      </c>
      <c r="N13" s="118">
        <f>'Income Statement'!M21/'Income Statement'!M$7</f>
        <v>0.14161855286327718</v>
      </c>
      <c r="O13" s="118">
        <f>'Income Statement'!N21/'Income Statement'!N$7</f>
        <v>4.403171326907139E-2</v>
      </c>
      <c r="P13" s="118">
        <f>'Income Statement'!O21/'Income Statement'!O$7</f>
        <v>-0.18327116372578867</v>
      </c>
    </row>
    <row r="14" spans="1:16" s="7" customFormat="1" x14ac:dyDescent="0.25">
      <c r="A14"/>
      <c r="B14" s="25" t="s">
        <v>131</v>
      </c>
      <c r="C14" s="37">
        <f>'Income Statement'!B23/'Income Statement'!B$7</f>
        <v>-4.7286417345156831E-3</v>
      </c>
      <c r="D14" s="37">
        <f>'Income Statement'!C23/'Income Statement'!C$7</f>
        <v>-2.951022360118041E-3</v>
      </c>
      <c r="E14" s="37">
        <f>'Income Statement'!D23/'Income Statement'!D$7</f>
        <v>-2.9718894224045498E-3</v>
      </c>
      <c r="F14" s="37">
        <f>'Income Statement'!E23/'Income Statement'!E$7</f>
        <v>-7.0559610705596106E-3</v>
      </c>
      <c r="G14" s="37">
        <f>'Income Statement'!F23/'Income Statement'!F$7</f>
        <v>-1.1272898074213245E-2</v>
      </c>
      <c r="H14" s="37">
        <f>'Income Statement'!G23/'Income Statement'!G$7</f>
        <v>-1.7816238228556885E-3</v>
      </c>
      <c r="I14" s="37">
        <f>'Income Statement'!H23/'Income Statement'!H$7</f>
        <v>7.4800103172556103E-3</v>
      </c>
      <c r="J14" s="37">
        <f>'Income Statement'!I23/'Income Statement'!I$7</f>
        <v>-1.9579554822753503E-2</v>
      </c>
      <c r="K14" s="30">
        <f>'Income Statement'!J23/'Income Statement'!J$7</f>
        <v>-1.2905607779040307E-2</v>
      </c>
      <c r="L14" s="30">
        <f>'Income Statement'!K23/'Income Statement'!K$7</f>
        <v>-1.9860045951928553E-2</v>
      </c>
      <c r="M14" s="30">
        <f>'Income Statement'!L23/'Income Statement'!L$7</f>
        <v>-3.5543003887927825E-2</v>
      </c>
      <c r="N14" s="119">
        <f>'Income Statement'!M23/'Income Statement'!M$7</f>
        <v>-1.1719064974701992E-2</v>
      </c>
      <c r="O14" s="119">
        <f>'Income Statement'!N23/'Income Statement'!N$7</f>
        <v>-1.7325045877167457E-2</v>
      </c>
      <c r="P14" s="119">
        <f>'Income Statement'!O23/'Income Statement'!O$7</f>
        <v>-2.7934154259209927E-2</v>
      </c>
    </row>
    <row r="15" spans="1:16" s="3" customFormat="1" x14ac:dyDescent="0.25">
      <c r="B15" s="27" t="s">
        <v>50</v>
      </c>
      <c r="C15" s="38">
        <f>'Income Statement'!B49/'Income Statement'!B$7</f>
        <v>0.10076429365205361</v>
      </c>
      <c r="D15" s="38">
        <f>'Income Statement'!C49/'Income Statement'!C$7</f>
        <v>0.10891955256435679</v>
      </c>
      <c r="E15" s="38">
        <f>'Income Statement'!D49/'Income Statement'!D$7</f>
        <v>9.9470887138128766E-2</v>
      </c>
      <c r="F15" s="38">
        <f>'Income Statement'!E49/'Income Statement'!E$7</f>
        <v>0.10279805352798053</v>
      </c>
      <c r="G15" s="38">
        <f>'Income Statement'!F49/'Income Statement'!F$7</f>
        <v>9.1357444809769844E-2</v>
      </c>
      <c r="H15" s="38">
        <f>'Income Statement'!G49/'Income Statement'!G$7</f>
        <v>0.1374395520488674</v>
      </c>
      <c r="I15" s="38">
        <f>'Income Statement'!H49/'Income Statement'!H$7</f>
        <v>0.10291462470982718</v>
      </c>
      <c r="J15" s="38">
        <f>'Income Statement'!I49/'Income Statement'!I$7</f>
        <v>0.14138499587798845</v>
      </c>
      <c r="K15" s="31">
        <f>'Income Statement'!J49/'Income Statement'!J$7</f>
        <v>0.13569452165039159</v>
      </c>
      <c r="L15" s="31">
        <f>'Income Statement'!K49/'Income Statement'!K$7</f>
        <v>0.1609733835517218</v>
      </c>
      <c r="M15" s="31">
        <f>'Income Statement'!L49/'Income Statement'!L$7</f>
        <v>0.24945549247613816</v>
      </c>
      <c r="N15" s="120">
        <f>'Income Statement'!M49/'Income Statement'!M$7</f>
        <v>0.24716979615570236</v>
      </c>
      <c r="O15" s="120">
        <f>'Income Statement'!N49/'Income Statement'!N$7</f>
        <v>0.19675449558343927</v>
      </c>
      <c r="P15" s="120">
        <f>'Income Statement'!O49/'Income Statement'!O$7</f>
        <v>7.4233555109941965E-2</v>
      </c>
    </row>
    <row r="16" spans="1:16" s="7" customFormat="1" x14ac:dyDescent="0.25">
      <c r="B16" s="25" t="s">
        <v>123</v>
      </c>
      <c r="C16" s="37">
        <f>'Income Statement'!B22/'Income Statement'!B$7</f>
        <v>0.22470686957113373</v>
      </c>
      <c r="D16" s="37">
        <f>'Income Statement'!C22/'Income Statement'!C$7</f>
        <v>0.24754761876990194</v>
      </c>
      <c r="E16" s="37">
        <f>'Income Statement'!D22/'Income Statement'!D$7</f>
        <v>0.24477879819122655</v>
      </c>
      <c r="F16" s="37">
        <f>'Income Statement'!E22/'Income Statement'!E$7</f>
        <v>0.27396593673965935</v>
      </c>
      <c r="G16" s="37">
        <f>'Income Statement'!F22/'Income Statement'!F$7</f>
        <v>0.31352747768905592</v>
      </c>
      <c r="H16" s="37">
        <f>'Income Statement'!G22/'Income Statement'!G$7</f>
        <v>0.17383558157291931</v>
      </c>
      <c r="I16" s="37">
        <f>'Income Statement'!H22/'Income Statement'!H$7</f>
        <v>0.15450090275986589</v>
      </c>
      <c r="J16" s="37">
        <f>'Income Statement'!I22/'Income Statement'!I$7</f>
        <v>0.15952184666117064</v>
      </c>
      <c r="K16" s="30">
        <f>'Income Statement'!J22/'Income Statement'!J$7</f>
        <v>0.16886288776976052</v>
      </c>
      <c r="L16" s="30">
        <f>'Income Statement'!K22/'Income Statement'!K$7</f>
        <v>7.0334477885065264E-2</v>
      </c>
      <c r="M16" s="30">
        <f>'Income Statement'!L22/'Income Statement'!L$7</f>
        <v>-0.19764850871003611</v>
      </c>
      <c r="N16" s="119">
        <f>'Income Statement'!M22/'Income Statement'!M$7</f>
        <v>0.15333761783800243</v>
      </c>
      <c r="O16" s="119">
        <f>'Income Statement'!N22/'Income Statement'!N$7</f>
        <v>6.1356759146221698E-2</v>
      </c>
      <c r="P16" s="119">
        <f>'Income Statement'!O22/'Income Statement'!O$7</f>
        <v>-0.15533700946655782</v>
      </c>
    </row>
    <row r="17" spans="1:16" s="7" customFormat="1" ht="15.75" thickBot="1" x14ac:dyDescent="0.3">
      <c r="A17"/>
      <c r="B17" s="15" t="s">
        <v>124</v>
      </c>
      <c r="C17" s="39">
        <f>'Income Statement'!B24/'Income Statement'!B$7</f>
        <v>-5.3149025922482024E-2</v>
      </c>
      <c r="D17" s="39">
        <f>'Income Statement'!C24/'Income Statement'!C$7</f>
        <v>-6.2368049642494733E-2</v>
      </c>
      <c r="E17" s="39">
        <f>'Income Statement'!D24/'Income Statement'!D$7</f>
        <v>-0.10145214675306513</v>
      </c>
      <c r="F17" s="39">
        <f>'Income Statement'!E24/'Income Statement'!E$7</f>
        <v>-0.1845498783454988</v>
      </c>
      <c r="G17" s="39">
        <f>'Income Statement'!F24/'Income Statement'!F$7</f>
        <v>-6.3762329732268669E-2</v>
      </c>
      <c r="H17" s="39">
        <f>'Income Statement'!G24/'Income Statement'!G$7</f>
        <v>-2.697887503181471E-2</v>
      </c>
      <c r="I17" s="39">
        <f>'Income Statement'!H24/'Income Statement'!H$7</f>
        <v>8.4343564611813263E-2</v>
      </c>
      <c r="J17" s="39">
        <f>'Income Statement'!I24/'Income Statement'!I$7</f>
        <v>-0.4111706512778236</v>
      </c>
      <c r="K17" s="32">
        <f>'Income Statement'!J24/'Income Statement'!J$7</f>
        <v>-0.2555380862696876</v>
      </c>
      <c r="L17" s="32">
        <f>'Income Statement'!K24/'Income Statement'!K$7</f>
        <v>-0.36754049270179201</v>
      </c>
      <c r="M17" s="32">
        <f>'Income Statement'!L24/'Income Statement'!L$7</f>
        <v>-0.66330353098352657</v>
      </c>
      <c r="N17" s="121">
        <f>'Income Statement'!M24/'Income Statement'!M$7</f>
        <v>-0.23204389035974277</v>
      </c>
      <c r="O17" s="121">
        <f>'Income Statement'!N24/'Income Statement'!N$7</f>
        <v>-0.32062644332184598</v>
      </c>
      <c r="P17" s="121">
        <f>'Income Statement'!O24/'Income Statement'!O$7</f>
        <v>-0.52130718083357541</v>
      </c>
    </row>
    <row r="18" spans="1:16" s="7" customFormat="1" ht="15.75" thickTop="1" x14ac:dyDescent="0.25">
      <c r="A18"/>
      <c r="B18" s="24" t="s">
        <v>125</v>
      </c>
      <c r="C18" s="40">
        <f>'Income Statement'!B33/'Income Statement'!B$7</f>
        <v>-7.1899734651758779E-2</v>
      </c>
      <c r="D18" s="40">
        <f>'Income Statement'!C33/'Income Statement'!C$7</f>
        <v>-7.8588174915143527E-2</v>
      </c>
      <c r="E18" s="40">
        <f>'Income Statement'!D33/'Income Statement'!D$7</f>
        <v>-8.3817770733299157E-2</v>
      </c>
      <c r="F18" s="40">
        <f>'Income Statement'!E33/'Income Statement'!E$7</f>
        <v>-0.11099756690997567</v>
      </c>
      <c r="G18" s="40">
        <f>'Income Statement'!F33/'Income Statement'!F$7</f>
        <v>-0.16722639736965711</v>
      </c>
      <c r="H18" s="40">
        <f>'Income Statement'!G33/'Income Statement'!G$7</f>
        <v>0.51668363451259858</v>
      </c>
      <c r="I18" s="40">
        <f>'Income Statement'!H33/'Income Statement'!H$7</f>
        <v>-0.66864843951508901</v>
      </c>
      <c r="J18" s="40">
        <f>'Income Statement'!I33/'Income Statement'!I$7</f>
        <v>-0.17629843363561418</v>
      </c>
      <c r="K18" s="33">
        <f>'Income Statement'!J33/'Income Statement'!J$7</f>
        <v>-3.3168366119368943E-2</v>
      </c>
      <c r="L18" s="33">
        <f>'Income Statement'!K33/'Income Statement'!K$7</f>
        <v>9.0638905666656541E-2</v>
      </c>
      <c r="M18" s="33">
        <f>'Income Statement'!L33/'Income Statement'!L$7</f>
        <v>0.44710400118617427</v>
      </c>
      <c r="N18" s="122">
        <f>'Income Statement'!M33/'Income Statement'!M$7</f>
        <v>0.4792136865154451</v>
      </c>
      <c r="O18" s="122">
        <f>'Income Statement'!N33/'Income Statement'!N$7</f>
        <v>0.51738093890528525</v>
      </c>
      <c r="P18" s="122">
        <f>'Income Statement'!O33/'Income Statement'!O$7</f>
        <v>0.59554073594351731</v>
      </c>
    </row>
    <row r="19" spans="1:16" x14ac:dyDescent="0.25">
      <c r="C19" s="4"/>
      <c r="D19" s="4"/>
      <c r="E19" s="4"/>
      <c r="F19" s="4"/>
      <c r="G19" s="4"/>
      <c r="H19" s="4"/>
      <c r="I19" s="4"/>
      <c r="J19" s="4"/>
    </row>
    <row r="20" spans="1:1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L20" s="7"/>
    </row>
    <row r="21" spans="1:16" x14ac:dyDescent="0.25">
      <c r="A21" s="7"/>
    </row>
    <row r="22" spans="1:16" x14ac:dyDescent="0.25">
      <c r="A22" s="7"/>
    </row>
    <row r="23" spans="1:16" x14ac:dyDescent="0.25">
      <c r="A23" s="7"/>
    </row>
    <row r="24" spans="1:16" x14ac:dyDescent="0.25">
      <c r="A24" s="7"/>
    </row>
    <row r="25" spans="1:16" x14ac:dyDescent="0.25">
      <c r="A25" s="7"/>
    </row>
    <row r="26" spans="1:16" x14ac:dyDescent="0.25">
      <c r="A26" s="7"/>
    </row>
    <row r="27" spans="1:16" x14ac:dyDescent="0.25">
      <c r="A27" s="7"/>
    </row>
    <row r="28" spans="1:16" x14ac:dyDescent="0.25">
      <c r="A28" s="7"/>
    </row>
    <row r="29" spans="1:16" x14ac:dyDescent="0.25">
      <c r="A29" s="7"/>
    </row>
    <row r="30" spans="1:16" x14ac:dyDescent="0.25">
      <c r="A30" s="7"/>
    </row>
    <row r="31" spans="1:16" x14ac:dyDescent="0.25">
      <c r="A31" s="7"/>
    </row>
    <row r="32" spans="1:16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3">
    <mergeCell ref="C3:J3"/>
    <mergeCell ref="K3:M3"/>
    <mergeCell ref="N3:P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9"/>
  <sheetViews>
    <sheetView zoomScale="79" workbookViewId="0">
      <pane xSplit="1" topLeftCell="E1" activePane="topRight" state="frozen"/>
      <selection pane="topRight" activeCell="A35" sqref="A35"/>
    </sheetView>
  </sheetViews>
  <sheetFormatPr defaultRowHeight="15" x14ac:dyDescent="0.25"/>
  <cols>
    <col min="1" max="1" width="42.42578125" bestFit="1" customWidth="1"/>
    <col min="2" max="9" width="15.42578125" bestFit="1" customWidth="1"/>
    <col min="10" max="13" width="13.28515625" bestFit="1" customWidth="1"/>
    <col min="14" max="15" width="13" bestFit="1" customWidth="1"/>
    <col min="16" max="16" width="18" bestFit="1" customWidth="1"/>
  </cols>
  <sheetData>
    <row r="1" spans="1:42" x14ac:dyDescent="0.25">
      <c r="J1" s="112" t="s">
        <v>121</v>
      </c>
      <c r="K1" s="112"/>
      <c r="L1" s="112"/>
      <c r="M1" s="112" t="s">
        <v>121</v>
      </c>
      <c r="N1" s="112"/>
      <c r="O1" s="11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53" customFormat="1" x14ac:dyDescent="0.25">
      <c r="B2" s="53">
        <v>2010</v>
      </c>
      <c r="C2" s="53">
        <v>2011</v>
      </c>
      <c r="D2" s="98">
        <v>2012</v>
      </c>
      <c r="E2" s="98">
        <v>2013</v>
      </c>
      <c r="F2" s="98">
        <v>2014</v>
      </c>
      <c r="G2" s="98">
        <v>2015</v>
      </c>
      <c r="H2" s="98">
        <v>2016</v>
      </c>
      <c r="I2" s="98">
        <v>2017</v>
      </c>
      <c r="J2" s="53">
        <v>2018</v>
      </c>
      <c r="K2" s="53">
        <v>2019</v>
      </c>
      <c r="L2" s="53">
        <v>2020</v>
      </c>
      <c r="M2" s="98">
        <v>2018</v>
      </c>
      <c r="N2" s="98">
        <v>2019</v>
      </c>
      <c r="O2" s="98">
        <v>2020</v>
      </c>
    </row>
    <row r="3" spans="1:42" ht="20.25" thickBot="1" x14ac:dyDescent="0.35">
      <c r="A3" s="1"/>
      <c r="B3" s="8" t="s">
        <v>9</v>
      </c>
      <c r="C3" s="8" t="s">
        <v>8</v>
      </c>
      <c r="D3" s="8" t="s">
        <v>7</v>
      </c>
      <c r="E3" s="8" t="s">
        <v>6</v>
      </c>
      <c r="F3" s="8" t="s">
        <v>5</v>
      </c>
      <c r="G3" s="8" t="s">
        <v>4</v>
      </c>
      <c r="H3" s="8" t="s">
        <v>3</v>
      </c>
      <c r="I3" s="8" t="s">
        <v>2</v>
      </c>
      <c r="J3" s="19" t="s">
        <v>117</v>
      </c>
      <c r="K3" s="19" t="s">
        <v>118</v>
      </c>
      <c r="L3" s="19" t="s">
        <v>133</v>
      </c>
      <c r="M3" s="93" t="s">
        <v>117</v>
      </c>
      <c r="N3" s="93" t="s">
        <v>118</v>
      </c>
      <c r="O3" s="93" t="s">
        <v>133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1" thickTop="1" thickBot="1" x14ac:dyDescent="0.35">
      <c r="A4" s="1"/>
      <c r="B4" s="9">
        <v>40543</v>
      </c>
      <c r="C4" s="9">
        <v>40908</v>
      </c>
      <c r="D4" s="9">
        <v>41274</v>
      </c>
      <c r="E4" s="9">
        <v>41639</v>
      </c>
      <c r="F4" s="9">
        <v>42004</v>
      </c>
      <c r="G4" s="9">
        <v>42369</v>
      </c>
      <c r="H4" s="9">
        <v>42735</v>
      </c>
      <c r="I4" s="9">
        <v>43100</v>
      </c>
      <c r="J4" s="19" t="s">
        <v>119</v>
      </c>
      <c r="K4" s="19" t="s">
        <v>120</v>
      </c>
      <c r="L4" s="19" t="s">
        <v>132</v>
      </c>
      <c r="M4" s="93" t="s">
        <v>119</v>
      </c>
      <c r="N4" s="93" t="s">
        <v>120</v>
      </c>
      <c r="O4" s="93" t="s">
        <v>132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.75" thickTop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42" x14ac:dyDescent="0.25">
      <c r="A6" s="11" t="s">
        <v>56</v>
      </c>
      <c r="B6" s="12" t="s">
        <v>25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2" t="s">
        <v>25</v>
      </c>
      <c r="N6" s="12" t="s">
        <v>25</v>
      </c>
      <c r="O6" s="12" t="s">
        <v>25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5">
      <c r="A7" s="1" t="s">
        <v>57</v>
      </c>
      <c r="B7" s="44">
        <v>987</v>
      </c>
      <c r="C7" s="44">
        <v>891.2</v>
      </c>
      <c r="D7" s="44">
        <v>1757.5</v>
      </c>
      <c r="E7" s="44">
        <v>2771</v>
      </c>
      <c r="F7" s="44">
        <v>2806</v>
      </c>
      <c r="G7" s="44">
        <v>1227</v>
      </c>
      <c r="H7" s="44">
        <v>1540</v>
      </c>
      <c r="I7" s="44">
        <v>2558</v>
      </c>
      <c r="J7" s="137">
        <f>TREND(B7:I7,$B$2:$I$2,$J$2)</f>
        <v>2496.7392857142841</v>
      </c>
      <c r="K7" s="137">
        <f t="shared" ref="K7:L17" si="0">TREND(C7:J7,$B$2:$I$2,$J$2)</f>
        <v>2539.9982142857043</v>
      </c>
      <c r="L7" s="137">
        <f t="shared" si="0"/>
        <v>2408.9145408163167</v>
      </c>
      <c r="M7" s="138">
        <f>J7+Project!$D$25</f>
        <v>2845.4087839642839</v>
      </c>
      <c r="N7" s="138">
        <f>K7+Project!$D$25</f>
        <v>2888.6677125357041</v>
      </c>
      <c r="O7" s="138">
        <f>L7+Project!$D$25</f>
        <v>2757.5840390663166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idden="1" x14ac:dyDescent="0.25">
      <c r="A8" s="1" t="s">
        <v>58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137">
        <f t="shared" ref="J8:J17" si="1">TREND(B8:I8,$B$2:$I$2,$J$2)</f>
        <v>0</v>
      </c>
      <c r="K8" s="137">
        <f t="shared" si="0"/>
        <v>0</v>
      </c>
      <c r="L8" s="137">
        <f t="shared" si="0"/>
        <v>0</v>
      </c>
      <c r="M8" s="138"/>
      <c r="N8" s="138"/>
      <c r="O8" s="13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1" t="s">
        <v>59</v>
      </c>
      <c r="B9" s="44">
        <v>393.2</v>
      </c>
      <c r="C9" s="44">
        <v>488.4</v>
      </c>
      <c r="D9" s="44">
        <v>580.5</v>
      </c>
      <c r="E9" s="44">
        <v>620</v>
      </c>
      <c r="F9" s="44">
        <v>518</v>
      </c>
      <c r="G9" s="44">
        <v>134</v>
      </c>
      <c r="H9" s="44">
        <v>160</v>
      </c>
      <c r="I9" s="44">
        <v>496</v>
      </c>
      <c r="J9" s="137">
        <f t="shared" si="1"/>
        <v>297.125</v>
      </c>
      <c r="K9" s="137">
        <f t="shared" si="0"/>
        <v>222.89107142857392</v>
      </c>
      <c r="L9" s="137">
        <f t="shared" si="0"/>
        <v>155.83392857141735</v>
      </c>
      <c r="M9" s="138">
        <f>J9</f>
        <v>297.125</v>
      </c>
      <c r="N9" s="138">
        <f>K9</f>
        <v>222.89107142857392</v>
      </c>
      <c r="O9" s="138">
        <f>L9</f>
        <v>155.83392857141735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idden="1" x14ac:dyDescent="0.25">
      <c r="A10" s="1" t="s">
        <v>60</v>
      </c>
      <c r="B10" s="44">
        <v>393.2</v>
      </c>
      <c r="C10" s="44">
        <v>488.4</v>
      </c>
      <c r="D10" s="44">
        <v>580.5</v>
      </c>
      <c r="E10" s="44">
        <v>620</v>
      </c>
      <c r="F10" s="44">
        <v>518</v>
      </c>
      <c r="G10" s="44">
        <v>134</v>
      </c>
      <c r="H10" s="44">
        <v>160</v>
      </c>
      <c r="I10" s="44">
        <v>496</v>
      </c>
      <c r="J10" s="137">
        <f t="shared" si="1"/>
        <v>297.125</v>
      </c>
      <c r="K10" s="137">
        <f t="shared" si="0"/>
        <v>222.89107142857392</v>
      </c>
      <c r="L10" s="137">
        <f t="shared" si="0"/>
        <v>155.83392857141735</v>
      </c>
      <c r="M10" s="138"/>
      <c r="N10" s="138"/>
      <c r="O10" s="13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idden="1" x14ac:dyDescent="0.25">
      <c r="A11" s="1" t="s">
        <v>61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137">
        <f t="shared" si="1"/>
        <v>0</v>
      </c>
      <c r="K11" s="137">
        <f t="shared" si="0"/>
        <v>0</v>
      </c>
      <c r="L11" s="137">
        <f t="shared" si="0"/>
        <v>0</v>
      </c>
      <c r="M11" s="138"/>
      <c r="N11" s="138"/>
      <c r="O11" s="13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5">
      <c r="A12" s="1" t="s">
        <v>62</v>
      </c>
      <c r="B12" s="44">
        <v>50.4</v>
      </c>
      <c r="C12" s="44">
        <v>44.6</v>
      </c>
      <c r="D12" s="44">
        <v>52</v>
      </c>
      <c r="E12" s="44">
        <v>45</v>
      </c>
      <c r="F12" s="44">
        <v>43</v>
      </c>
      <c r="G12" s="44">
        <v>21</v>
      </c>
      <c r="H12" s="44">
        <v>20</v>
      </c>
      <c r="I12" s="44">
        <v>39</v>
      </c>
      <c r="J12" s="137">
        <f t="shared" si="1"/>
        <v>23.421428571428805</v>
      </c>
      <c r="K12" s="137">
        <f t="shared" si="0"/>
        <v>19.382142857142753</v>
      </c>
      <c r="L12" s="137">
        <f t="shared" si="0"/>
        <v>14.142346938773699</v>
      </c>
      <c r="M12" s="138">
        <f>AVERAGE(B12:I12)</f>
        <v>39.375</v>
      </c>
      <c r="N12" s="138">
        <f t="shared" ref="N12:O12" si="2">AVERAGE(C12:J12)</f>
        <v>36.002678571428604</v>
      </c>
      <c r="O12" s="138">
        <f t="shared" si="2"/>
        <v>32.850446428571445</v>
      </c>
    </row>
    <row r="13" spans="1:42" x14ac:dyDescent="0.25">
      <c r="A13" s="1" t="s">
        <v>63</v>
      </c>
      <c r="B13" s="44">
        <v>359.9</v>
      </c>
      <c r="C13" s="44">
        <v>413</v>
      </c>
      <c r="D13" s="44">
        <v>1103.5999999999999</v>
      </c>
      <c r="E13" s="44">
        <v>334</v>
      </c>
      <c r="F13" s="44">
        <v>301</v>
      </c>
      <c r="G13" s="44">
        <v>577</v>
      </c>
      <c r="H13" s="44">
        <v>3297</v>
      </c>
      <c r="I13" s="44">
        <v>366</v>
      </c>
      <c r="J13" s="137">
        <f t="shared" si="1"/>
        <v>1532.3250000000116</v>
      </c>
      <c r="K13" s="137">
        <f t="shared" si="0"/>
        <v>1703.6482142856694</v>
      </c>
      <c r="L13" s="137">
        <f t="shared" si="0"/>
        <v>1853.9803571428056</v>
      </c>
      <c r="M13" s="138">
        <f>J13</f>
        <v>1532.3250000000116</v>
      </c>
      <c r="N13" s="138">
        <f t="shared" ref="N13:O13" si="3">K13</f>
        <v>1703.6482142856694</v>
      </c>
      <c r="O13" s="138">
        <f t="shared" si="3"/>
        <v>1853.9803571428056</v>
      </c>
    </row>
    <row r="14" spans="1:42" hidden="1" x14ac:dyDescent="0.25">
      <c r="A14" s="1" t="s">
        <v>64</v>
      </c>
      <c r="B14" s="44">
        <v>0</v>
      </c>
      <c r="C14" s="44">
        <v>0</v>
      </c>
      <c r="D14" s="44">
        <v>0</v>
      </c>
      <c r="E14" s="44">
        <v>0</v>
      </c>
      <c r="F14" s="44" t="s">
        <v>25</v>
      </c>
      <c r="G14" s="44">
        <v>0</v>
      </c>
      <c r="H14" s="44">
        <v>0</v>
      </c>
      <c r="I14" s="44">
        <v>0</v>
      </c>
      <c r="J14" s="137" t="e">
        <f t="shared" si="1"/>
        <v>#VALUE!</v>
      </c>
      <c r="K14" s="137"/>
      <c r="L14" s="137" t="e">
        <f t="shared" si="0"/>
        <v>#VALUE!</v>
      </c>
      <c r="M14" s="138"/>
      <c r="N14" s="138"/>
      <c r="O14" s="138"/>
    </row>
    <row r="15" spans="1:42" hidden="1" x14ac:dyDescent="0.25">
      <c r="A15" s="1" t="s">
        <v>65</v>
      </c>
      <c r="B15" s="44" t="s">
        <v>25</v>
      </c>
      <c r="C15" s="44">
        <v>15.5</v>
      </c>
      <c r="D15" s="44">
        <v>5.0999999999999996</v>
      </c>
      <c r="E15" s="44">
        <v>0</v>
      </c>
      <c r="F15" s="44" t="s">
        <v>25</v>
      </c>
      <c r="G15" s="44">
        <v>364</v>
      </c>
      <c r="H15" s="44" t="s">
        <v>25</v>
      </c>
      <c r="I15" s="44" t="s">
        <v>25</v>
      </c>
      <c r="J15" s="137" t="e">
        <f t="shared" si="1"/>
        <v>#VALUE!</v>
      </c>
      <c r="K15" s="137"/>
      <c r="L15" s="137" t="e">
        <f t="shared" si="0"/>
        <v>#VALUE!</v>
      </c>
      <c r="M15" s="138"/>
      <c r="N15" s="138"/>
      <c r="O15" s="138"/>
    </row>
    <row r="16" spans="1:42" hidden="1" x14ac:dyDescent="0.25">
      <c r="A16" s="1" t="s">
        <v>66</v>
      </c>
      <c r="B16" s="44">
        <v>175.8</v>
      </c>
      <c r="C16" s="44">
        <v>170.5</v>
      </c>
      <c r="D16" s="44">
        <v>114.9</v>
      </c>
      <c r="E16" s="44">
        <v>9</v>
      </c>
      <c r="F16" s="44" t="s">
        <v>25</v>
      </c>
      <c r="G16" s="44" t="s">
        <v>25</v>
      </c>
      <c r="H16" s="44" t="s">
        <v>25</v>
      </c>
      <c r="I16" s="44" t="s">
        <v>25</v>
      </c>
      <c r="J16" s="137" t="e">
        <f t="shared" si="1"/>
        <v>#VALUE!</v>
      </c>
      <c r="K16" s="137"/>
      <c r="L16" s="137" t="e">
        <f t="shared" si="0"/>
        <v>#VALUE!</v>
      </c>
      <c r="M16" s="138"/>
      <c r="N16" s="138"/>
      <c r="O16" s="138"/>
    </row>
    <row r="17" spans="1:15" hidden="1" x14ac:dyDescent="0.25">
      <c r="A17" s="1" t="s">
        <v>67</v>
      </c>
      <c r="B17" s="44">
        <v>184.1</v>
      </c>
      <c r="C17" s="44">
        <v>227</v>
      </c>
      <c r="D17" s="44">
        <v>983.59999999999991</v>
      </c>
      <c r="E17" s="44">
        <v>325</v>
      </c>
      <c r="F17" s="44">
        <v>301</v>
      </c>
      <c r="G17" s="44">
        <v>213</v>
      </c>
      <c r="H17" s="44">
        <v>3297</v>
      </c>
      <c r="I17" s="44">
        <v>366</v>
      </c>
      <c r="J17" s="137">
        <f t="shared" si="1"/>
        <v>1502.4892857142841</v>
      </c>
      <c r="K17" s="137"/>
      <c r="L17" s="137" t="e">
        <f t="shared" si="0"/>
        <v>#VALUE!</v>
      </c>
      <c r="M17" s="138"/>
      <c r="N17" s="138"/>
      <c r="O17" s="138"/>
    </row>
    <row r="18" spans="1:15" x14ac:dyDescent="0.25">
      <c r="A18" s="3" t="s">
        <v>68</v>
      </c>
      <c r="B18" s="132">
        <v>1790.5</v>
      </c>
      <c r="C18" s="132">
        <v>1837.1999999999998</v>
      </c>
      <c r="D18" s="132">
        <v>3493.6</v>
      </c>
      <c r="E18" s="132">
        <v>3770</v>
      </c>
      <c r="F18" s="132">
        <v>3668</v>
      </c>
      <c r="G18" s="132">
        <v>1959</v>
      </c>
      <c r="H18" s="132">
        <v>5017</v>
      </c>
      <c r="I18" s="132">
        <v>3459</v>
      </c>
      <c r="J18" s="139">
        <f>SUBTOTAL(9,J7:J13)</f>
        <v>4646.7357142857245</v>
      </c>
      <c r="K18" s="139">
        <f t="shared" ref="K18:L18" si="4">SUBTOTAL(9,K7:K13)</f>
        <v>4708.8107142856643</v>
      </c>
      <c r="L18" s="139">
        <f t="shared" si="4"/>
        <v>4588.7051020407307</v>
      </c>
      <c r="M18" s="140">
        <f>SUBTOTAL(9,M7:M13)</f>
        <v>4714.2337839642951</v>
      </c>
      <c r="N18" s="140">
        <f t="shared" ref="N18:O18" si="5">SUBTOTAL(9,N7:N13)</f>
        <v>4851.209676821376</v>
      </c>
      <c r="O18" s="140">
        <f t="shared" si="5"/>
        <v>4800.2487712091115</v>
      </c>
    </row>
    <row r="19" spans="1:15" x14ac:dyDescent="0.25">
      <c r="A19" s="1" t="s">
        <v>69</v>
      </c>
      <c r="B19" s="44">
        <v>19758.099999999999</v>
      </c>
      <c r="C19" s="44">
        <v>19026.8</v>
      </c>
      <c r="D19" s="44">
        <v>18803.8</v>
      </c>
      <c r="E19" s="44">
        <v>16057</v>
      </c>
      <c r="F19" s="44">
        <v>16711</v>
      </c>
      <c r="G19" s="44">
        <v>9078</v>
      </c>
      <c r="H19" s="44">
        <v>9134</v>
      </c>
      <c r="I19" s="44">
        <v>18363</v>
      </c>
      <c r="J19" s="137">
        <f t="shared" ref="J19:J22" si="6">TREND(B19:I19,$B$2:$I$2,$J$2)</f>
        <v>11165.403571428265</v>
      </c>
      <c r="K19" s="137">
        <f t="shared" ref="K19:K21" si="7">TREND(C19:J19,$B$2:$I$2,$J$2)</f>
        <v>10204.744642856997</v>
      </c>
      <c r="L19" s="137">
        <f t="shared" ref="L19:L21" si="8">TREND(D19:K19,$B$2:$I$2,$J$2)</f>
        <v>9423.2237244895659</v>
      </c>
      <c r="M19" s="138">
        <f>'Balance Sheet'!J19+Project!D16+Project!D14</f>
        <v>14728.230996141003</v>
      </c>
      <c r="N19" s="138">
        <f>'Balance Sheet'!K19+Project!E16+Project!E14</f>
        <v>10204.744642856997</v>
      </c>
      <c r="O19" s="138">
        <f>'Balance Sheet'!L19+Project!F16+Project!F14</f>
        <v>9423.2237244895659</v>
      </c>
    </row>
    <row r="20" spans="1:15" x14ac:dyDescent="0.25">
      <c r="A20" s="1" t="s">
        <v>70</v>
      </c>
      <c r="B20" s="44">
        <v>1991.5</v>
      </c>
      <c r="C20" s="44">
        <v>2541.1999999999998</v>
      </c>
      <c r="D20" s="44">
        <v>3102.1</v>
      </c>
      <c r="E20" s="44">
        <v>2819</v>
      </c>
      <c r="F20" s="44">
        <v>3255</v>
      </c>
      <c r="G20" s="44">
        <v>1494</v>
      </c>
      <c r="H20" s="44">
        <v>1688</v>
      </c>
      <c r="I20" s="44">
        <v>2135</v>
      </c>
      <c r="J20" s="137">
        <f t="shared" si="6"/>
        <v>1968.4142857142724</v>
      </c>
      <c r="K20" s="137">
        <f t="shared" si="7"/>
        <v>1625.3928571428405</v>
      </c>
      <c r="L20" s="137">
        <f t="shared" si="8"/>
        <v>1309.655612244911</v>
      </c>
      <c r="M20" s="138">
        <f>J20-(Project!$D$18/Project!$D$19)</f>
        <v>1920.2467749589491</v>
      </c>
      <c r="N20" s="138">
        <f>K20-(Project!$D$18/Project!$D$19)</f>
        <v>1577.2253463875172</v>
      </c>
      <c r="O20" s="138">
        <f>L20-(Project!$D$18/Project!$D$19)</f>
        <v>1261.4881014895877</v>
      </c>
    </row>
    <row r="21" spans="1:15" x14ac:dyDescent="0.25">
      <c r="A21" s="2" t="s">
        <v>71</v>
      </c>
      <c r="B21" s="133">
        <v>9030.6</v>
      </c>
      <c r="C21" s="133">
        <v>10192.799999999999</v>
      </c>
      <c r="D21" s="133">
        <v>8802.7999999999993</v>
      </c>
      <c r="E21" s="133">
        <v>7681</v>
      </c>
      <c r="F21" s="133">
        <v>6204</v>
      </c>
      <c r="G21" s="133">
        <v>2663</v>
      </c>
      <c r="H21" s="133">
        <v>2460</v>
      </c>
      <c r="I21" s="133">
        <v>5825</v>
      </c>
      <c r="J21" s="137">
        <f t="shared" si="6"/>
        <v>2268.1357142857742</v>
      </c>
      <c r="K21" s="137">
        <f t="shared" si="7"/>
        <v>963.93214285699651</v>
      </c>
      <c r="L21" s="137">
        <f t="shared" si="8"/>
        <v>147.24795918376185</v>
      </c>
      <c r="M21" s="138">
        <f>AVERAGE(B21:I21)</f>
        <v>6607.4</v>
      </c>
      <c r="N21" s="138">
        <f t="shared" ref="N21:O21" si="9">AVERAGE(C21:J21)</f>
        <v>5762.0919642857216</v>
      </c>
      <c r="O21" s="138">
        <f t="shared" si="9"/>
        <v>4608.4834821428467</v>
      </c>
    </row>
    <row r="22" spans="1:15" ht="15.75" thickBot="1" x14ac:dyDescent="0.3">
      <c r="A22" s="45" t="s">
        <v>72</v>
      </c>
      <c r="B22" s="134">
        <v>26797.199999999997</v>
      </c>
      <c r="C22" s="134">
        <v>26678.399999999998</v>
      </c>
      <c r="D22" s="134">
        <v>24504.5</v>
      </c>
      <c r="E22" s="134">
        <v>20919</v>
      </c>
      <c r="F22" s="134">
        <v>19660</v>
      </c>
      <c r="G22" s="134">
        <v>10247</v>
      </c>
      <c r="H22" s="134">
        <v>9906</v>
      </c>
      <c r="I22" s="134">
        <v>22053</v>
      </c>
      <c r="J22" s="141">
        <f t="shared" si="6"/>
        <v>11465.125</v>
      </c>
      <c r="K22" s="141">
        <f t="shared" ref="K22" si="10">TREND(C22:J22,$B$2:$I$2,$J$2)</f>
        <v>9543.2839285712689</v>
      </c>
      <c r="L22" s="141">
        <f t="shared" ref="L22" si="11">TREND(D22:K22,$B$2:$I$2,$J$2)</f>
        <v>8260.8160714278929</v>
      </c>
      <c r="M22" s="142">
        <f>J22</f>
        <v>11465.125</v>
      </c>
      <c r="N22" s="142">
        <f t="shared" ref="N22:O22" si="12">K22</f>
        <v>9543.2839285712689</v>
      </c>
      <c r="O22" s="142">
        <f t="shared" si="12"/>
        <v>8260.8160714278929</v>
      </c>
    </row>
    <row r="23" spans="1:15" ht="15.75" thickTop="1" x14ac:dyDescent="0.25">
      <c r="A23" s="3" t="s">
        <v>56</v>
      </c>
      <c r="B23" s="132">
        <v>28587.699999999997</v>
      </c>
      <c r="C23" s="132">
        <v>28515.599999999999</v>
      </c>
      <c r="D23" s="132">
        <v>27998.1</v>
      </c>
      <c r="E23" s="132">
        <v>24689</v>
      </c>
      <c r="F23" s="132">
        <v>23328</v>
      </c>
      <c r="G23" s="132">
        <v>12206</v>
      </c>
      <c r="H23" s="132">
        <v>14923</v>
      </c>
      <c r="I23" s="132">
        <v>25512</v>
      </c>
      <c r="J23" s="139">
        <f>SUBTOTAL(9,J18:J22)</f>
        <v>26867.078571428312</v>
      </c>
      <c r="K23" s="139">
        <f t="shared" ref="K23:O23" si="13">SUBTOTAL(9,K18:K22)</f>
        <v>22337.353571428102</v>
      </c>
      <c r="L23" s="139">
        <f t="shared" si="13"/>
        <v>19140.943367346132</v>
      </c>
      <c r="M23" s="140">
        <f t="shared" si="13"/>
        <v>34721.002771099949</v>
      </c>
      <c r="N23" s="140">
        <f t="shared" si="13"/>
        <v>27087.345882101505</v>
      </c>
      <c r="O23" s="140">
        <f t="shared" si="13"/>
        <v>23554.011379549891</v>
      </c>
    </row>
    <row r="24" spans="1:15" x14ac:dyDescent="0.25">
      <c r="A24" s="1"/>
      <c r="B24" s="44" t="s">
        <v>25</v>
      </c>
      <c r="C24" s="44" t="s">
        <v>25</v>
      </c>
      <c r="D24" s="44" t="s">
        <v>25</v>
      </c>
      <c r="E24" s="44" t="s">
        <v>25</v>
      </c>
      <c r="F24" s="44" t="s">
        <v>25</v>
      </c>
      <c r="G24" s="44" t="s">
        <v>25</v>
      </c>
      <c r="H24" s="44" t="s">
        <v>25</v>
      </c>
      <c r="I24" s="44" t="s">
        <v>25</v>
      </c>
      <c r="J24" s="137"/>
      <c r="K24" s="137"/>
      <c r="L24" s="137"/>
      <c r="M24" s="138"/>
      <c r="N24" s="138"/>
      <c r="O24" s="138"/>
    </row>
    <row r="25" spans="1:15" x14ac:dyDescent="0.25">
      <c r="A25" s="11" t="s">
        <v>73</v>
      </c>
      <c r="B25" s="135" t="s">
        <v>25</v>
      </c>
      <c r="C25" s="135" t="s">
        <v>25</v>
      </c>
      <c r="D25" s="135" t="s">
        <v>25</v>
      </c>
      <c r="E25" s="135" t="s">
        <v>25</v>
      </c>
      <c r="F25" s="135" t="s">
        <v>25</v>
      </c>
      <c r="G25" s="135" t="s">
        <v>25</v>
      </c>
      <c r="H25" s="135" t="s">
        <v>25</v>
      </c>
      <c r="I25" s="135" t="s">
        <v>25</v>
      </c>
      <c r="J25" s="135" t="s">
        <v>25</v>
      </c>
      <c r="K25" s="135" t="s">
        <v>25</v>
      </c>
      <c r="L25" s="135" t="s">
        <v>25</v>
      </c>
      <c r="M25" s="135" t="s">
        <v>25</v>
      </c>
      <c r="N25" s="135" t="s">
        <v>25</v>
      </c>
      <c r="O25" s="135" t="s">
        <v>25</v>
      </c>
    </row>
    <row r="26" spans="1:15" x14ac:dyDescent="0.25">
      <c r="A26" s="1" t="s">
        <v>74</v>
      </c>
      <c r="B26" s="44">
        <v>1527.2</v>
      </c>
      <c r="C26" s="44">
        <v>1548.9</v>
      </c>
      <c r="D26" s="44">
        <v>1708.4</v>
      </c>
      <c r="E26" s="44">
        <v>2045</v>
      </c>
      <c r="F26" s="44">
        <v>2264</v>
      </c>
      <c r="G26" s="44">
        <v>1741</v>
      </c>
      <c r="H26" s="44">
        <v>7574</v>
      </c>
      <c r="I26" s="44">
        <v>1815</v>
      </c>
      <c r="J26" s="137">
        <f t="shared" ref="J26:J31" si="14">TREND(B26:I26,$B$2:$I$2,$J$2)</f>
        <v>4266.6999999999534</v>
      </c>
      <c r="K26" s="137">
        <f t="shared" ref="K26:K27" si="15">TREND(C26:J26,$B$2:$I$2,$J$2)</f>
        <v>4778.6749999999302</v>
      </c>
      <c r="L26" s="137">
        <f t="shared" ref="L26:L27" si="16">TREND(D26:K26,$B$2:$I$2,$J$2)</f>
        <v>5260.8696428571129</v>
      </c>
      <c r="M26" s="138">
        <f>J26</f>
        <v>4266.6999999999534</v>
      </c>
      <c r="N26" s="138">
        <f t="shared" ref="N26:O27" si="17">K26</f>
        <v>4778.6749999999302</v>
      </c>
      <c r="O26" s="138">
        <f t="shared" si="17"/>
        <v>5260.8696428571129</v>
      </c>
    </row>
    <row r="27" spans="1:15" x14ac:dyDescent="0.25">
      <c r="A27" s="1" t="s">
        <v>75</v>
      </c>
      <c r="B27" s="44">
        <v>55.599999999999994</v>
      </c>
      <c r="C27" s="44">
        <v>40.4</v>
      </c>
      <c r="D27" s="44">
        <v>879.9</v>
      </c>
      <c r="E27" s="44">
        <v>211.7</v>
      </c>
      <c r="F27" s="44">
        <v>15799</v>
      </c>
      <c r="G27" s="44">
        <v>193</v>
      </c>
      <c r="H27" s="44">
        <v>91</v>
      </c>
      <c r="I27" s="44">
        <v>73</v>
      </c>
      <c r="J27" s="137">
        <f t="shared" si="14"/>
        <v>2912.6678571428638</v>
      </c>
      <c r="K27" s="137">
        <f t="shared" si="15"/>
        <v>2530.6160714285752</v>
      </c>
      <c r="L27" s="137">
        <f t="shared" si="16"/>
        <v>1645.9954081632895</v>
      </c>
      <c r="M27" s="138">
        <f>J27</f>
        <v>2912.6678571428638</v>
      </c>
      <c r="N27" s="138">
        <f t="shared" si="17"/>
        <v>2530.6160714285752</v>
      </c>
      <c r="O27" s="138">
        <f t="shared" si="17"/>
        <v>1645.9954081632895</v>
      </c>
    </row>
    <row r="28" spans="1:15" x14ac:dyDescent="0.25">
      <c r="A28" s="3" t="s">
        <v>76</v>
      </c>
      <c r="B28" s="132">
        <v>1582.8</v>
      </c>
      <c r="C28" s="132">
        <v>1602.8</v>
      </c>
      <c r="D28" s="132">
        <v>2588.2999999999997</v>
      </c>
      <c r="E28" s="132">
        <v>2545.6999999999998</v>
      </c>
      <c r="F28" s="132">
        <v>18063</v>
      </c>
      <c r="G28" s="132">
        <v>2016</v>
      </c>
      <c r="H28" s="132">
        <v>7731</v>
      </c>
      <c r="I28" s="132">
        <v>1888</v>
      </c>
      <c r="J28" s="139">
        <f>SUBTOTAL(9,J26:J27)</f>
        <v>7179.3678571428172</v>
      </c>
      <c r="K28" s="139">
        <f t="shared" ref="K28:M28" si="18">SUBTOTAL(9,K26:K27)</f>
        <v>7309.2910714285053</v>
      </c>
      <c r="L28" s="139">
        <f t="shared" si="18"/>
        <v>6906.8650510204025</v>
      </c>
      <c r="M28" s="140">
        <f t="shared" si="18"/>
        <v>7179.3678571428172</v>
      </c>
      <c r="N28" s="140">
        <f t="shared" ref="N28" si="19">SUBTOTAL(9,N26:N27)</f>
        <v>7309.2910714285053</v>
      </c>
      <c r="O28" s="140">
        <f t="shared" ref="O28" si="20">SUBTOTAL(9,O26:O27)</f>
        <v>6906.8650510204025</v>
      </c>
    </row>
    <row r="29" spans="1:15" x14ac:dyDescent="0.25">
      <c r="A29" s="1" t="s">
        <v>77</v>
      </c>
      <c r="B29" s="44">
        <v>18785.5</v>
      </c>
      <c r="C29" s="44">
        <v>19759.5</v>
      </c>
      <c r="D29" s="44">
        <v>20532.2</v>
      </c>
      <c r="E29" s="44">
        <v>20918</v>
      </c>
      <c r="F29" s="44">
        <v>7230</v>
      </c>
      <c r="G29" s="44">
        <v>6777</v>
      </c>
      <c r="H29" s="44">
        <v>6749</v>
      </c>
      <c r="I29" s="44">
        <v>18278</v>
      </c>
      <c r="J29" s="137">
        <f t="shared" si="14"/>
        <v>8259.4392857141793</v>
      </c>
      <c r="K29" s="137">
        <f t="shared" ref="K29" si="21">TREND(C29:J29,$B$2:$I$2,$J$2)</f>
        <v>6345.1374999997206</v>
      </c>
      <c r="L29" s="137">
        <f t="shared" ref="L29" si="22">TREND(D29:K29,$B$2:$I$2,$J$2)</f>
        <v>4949.3341836729087</v>
      </c>
      <c r="M29" s="138">
        <f>J29+(Financing!$E$3/1000000)</f>
        <v>12159.439285714179</v>
      </c>
      <c r="N29" s="138">
        <f>K29+(Financing!$E$3/1000000)</f>
        <v>10245.137499999721</v>
      </c>
      <c r="O29" s="138">
        <f>L29+(Financing!$E$3/1000000)</f>
        <v>8849.3341836729087</v>
      </c>
    </row>
    <row r="30" spans="1:15" x14ac:dyDescent="0.25">
      <c r="A30" s="2" t="s">
        <v>78</v>
      </c>
      <c r="B30" s="133">
        <v>6546.8</v>
      </c>
      <c r="C30" s="133">
        <v>6099.9</v>
      </c>
      <c r="D30" s="133">
        <v>5209.2000000000007</v>
      </c>
      <c r="E30" s="133">
        <v>3144</v>
      </c>
      <c r="F30" s="133">
        <v>2777</v>
      </c>
      <c r="G30" s="133">
        <v>1180</v>
      </c>
      <c r="H30" s="133">
        <v>2052</v>
      </c>
      <c r="I30" s="133">
        <v>2050</v>
      </c>
      <c r="J30" s="137">
        <f>I30</f>
        <v>2050</v>
      </c>
      <c r="K30" s="137">
        <f t="shared" ref="K30:L30" si="23">J30</f>
        <v>2050</v>
      </c>
      <c r="L30" s="137">
        <f t="shared" si="23"/>
        <v>2050</v>
      </c>
      <c r="M30" s="138">
        <f>J30</f>
        <v>2050</v>
      </c>
      <c r="N30" s="138">
        <f t="shared" ref="N30:O31" si="24">K30</f>
        <v>2050</v>
      </c>
      <c r="O30" s="138">
        <f t="shared" si="24"/>
        <v>2050</v>
      </c>
    </row>
    <row r="31" spans="1:15" ht="15.75" thickBot="1" x14ac:dyDescent="0.3">
      <c r="A31" s="45" t="s">
        <v>79</v>
      </c>
      <c r="B31" s="134">
        <v>25332.3</v>
      </c>
      <c r="C31" s="134">
        <v>25859.4</v>
      </c>
      <c r="D31" s="134">
        <v>25741.4</v>
      </c>
      <c r="E31" s="134">
        <v>24062</v>
      </c>
      <c r="F31" s="134">
        <v>10007</v>
      </c>
      <c r="G31" s="134">
        <v>7957</v>
      </c>
      <c r="H31" s="134">
        <v>8801</v>
      </c>
      <c r="I31" s="134">
        <v>20328</v>
      </c>
      <c r="J31" s="141">
        <f t="shared" si="14"/>
        <v>8454.0321428570896</v>
      </c>
      <c r="K31" s="141">
        <f t="shared" ref="K31" si="25">TREND(C31:J31,$B$2:$I$2,$J$2)</f>
        <v>5861.7160714287311</v>
      </c>
      <c r="L31" s="141">
        <f t="shared" ref="L31" si="26">TREND(D31:K31,$B$2:$I$2,$J$2)</f>
        <v>3969.8778061224148</v>
      </c>
      <c r="M31" s="142">
        <f>J31</f>
        <v>8454.0321428570896</v>
      </c>
      <c r="N31" s="142">
        <f t="shared" si="24"/>
        <v>5861.7160714287311</v>
      </c>
      <c r="O31" s="142">
        <f t="shared" si="24"/>
        <v>3969.8778061224148</v>
      </c>
    </row>
    <row r="32" spans="1:15" ht="15.75" thickTop="1" x14ac:dyDescent="0.25">
      <c r="A32" s="3" t="s">
        <v>80</v>
      </c>
      <c r="B32" s="132">
        <v>26915.1</v>
      </c>
      <c r="C32" s="132">
        <v>27462.199999999997</v>
      </c>
      <c r="D32" s="132">
        <v>28329.7</v>
      </c>
      <c r="E32" s="132">
        <v>26607.7</v>
      </c>
      <c r="F32" s="132">
        <v>28070</v>
      </c>
      <c r="G32" s="132">
        <v>9973</v>
      </c>
      <c r="H32" s="132">
        <v>16532</v>
      </c>
      <c r="I32" s="132">
        <v>22216</v>
      </c>
      <c r="J32" s="139">
        <f>SUM(J28+J31)</f>
        <v>15633.399999999907</v>
      </c>
      <c r="K32" s="139">
        <f t="shared" ref="K32:M32" si="27">SUM(K28+K31)</f>
        <v>13171.007142857237</v>
      </c>
      <c r="L32" s="139">
        <f t="shared" si="27"/>
        <v>10876.742857142817</v>
      </c>
      <c r="M32" s="140">
        <f t="shared" si="27"/>
        <v>15633.399999999907</v>
      </c>
      <c r="N32" s="140">
        <f t="shared" ref="N32" si="28">SUM(N28+N31)</f>
        <v>13171.007142857237</v>
      </c>
      <c r="O32" s="140">
        <f t="shared" ref="O32" si="29">SUM(O28+O31)</f>
        <v>10876.742857142817</v>
      </c>
    </row>
    <row r="33" spans="1:15" s="7" customFormat="1" x14ac:dyDescent="0.25">
      <c r="A33" s="11" t="s">
        <v>150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x14ac:dyDescent="0.25">
      <c r="A34" s="1" t="s">
        <v>81</v>
      </c>
      <c r="B34" s="44">
        <f>B45-B36</f>
        <v>125.092530498</v>
      </c>
      <c r="C34" s="44">
        <f>C45-C36</f>
        <v>125.10000000000042</v>
      </c>
      <c r="D34" s="44">
        <f>D45-D36</f>
        <v>109.10000000000001</v>
      </c>
      <c r="E34" s="44">
        <f>E45-E36</f>
        <v>121</v>
      </c>
      <c r="F34" s="44">
        <f>F45-F36</f>
        <v>126</v>
      </c>
      <c r="G34" s="44">
        <f>G45-G36</f>
        <v>124</v>
      </c>
      <c r="H34" s="44">
        <f>H45-H36</f>
        <v>118</v>
      </c>
      <c r="I34" s="44">
        <f>I45-I36</f>
        <v>532</v>
      </c>
      <c r="J34" s="137">
        <f t="shared" ref="J34" si="30">TREND(B34:I34,$B$2:$I$2,$J$2)</f>
        <v>325.88758166121261</v>
      </c>
      <c r="K34" s="137">
        <f t="shared" ref="K34" si="31">TREND(C34:J34,$B$2:$I$2,$J$2)</f>
        <v>385.61879083060194</v>
      </c>
      <c r="L34" s="137">
        <f t="shared" ref="L34" si="32">TREND(D34:K34,$B$2:$I$2,$J$2)</f>
        <v>453.70451678220707</v>
      </c>
      <c r="M34" s="138">
        <f>J34</f>
        <v>325.88758166121261</v>
      </c>
      <c r="N34" s="138">
        <f t="shared" ref="N34:O36" si="33">K34</f>
        <v>385.61879083060194</v>
      </c>
      <c r="O34" s="138">
        <f t="shared" si="33"/>
        <v>453.70451678220707</v>
      </c>
    </row>
    <row r="35" spans="1:15" x14ac:dyDescent="0.25">
      <c r="A35" s="1" t="s">
        <v>82</v>
      </c>
      <c r="B35" s="44">
        <v>6906.5</v>
      </c>
      <c r="C35" s="44">
        <v>6885.0999999999995</v>
      </c>
      <c r="D35" s="44">
        <v>6954.4</v>
      </c>
      <c r="E35" s="44">
        <v>7231</v>
      </c>
      <c r="F35" s="44">
        <v>8140</v>
      </c>
      <c r="G35" s="44">
        <v>8190</v>
      </c>
      <c r="H35" s="44">
        <v>8676</v>
      </c>
      <c r="I35" s="44">
        <v>14048</v>
      </c>
      <c r="J35" s="137">
        <f t="shared" ref="J35:J39" si="34">TREND(B35:I35,$B$2:$I$2,$J$2)</f>
        <v>11783.917857142864</v>
      </c>
      <c r="K35" s="137">
        <f t="shared" ref="K35:K39" si="35">TREND(C35:J35,$B$2:$I$2,$J$2)</f>
        <v>12960.591071428498</v>
      </c>
      <c r="L35" s="137">
        <f t="shared" ref="L35:L39" si="36">TREND(D35:K35,$B$2:$I$2,$J$2)</f>
        <v>14195.377551020356</v>
      </c>
      <c r="M35" s="138">
        <f>J35</f>
        <v>11783.917857142864</v>
      </c>
      <c r="N35" s="138">
        <f t="shared" si="33"/>
        <v>12960.591071428498</v>
      </c>
      <c r="O35" s="138">
        <f t="shared" si="33"/>
        <v>14195.377551020356</v>
      </c>
    </row>
    <row r="36" spans="1:15" x14ac:dyDescent="0.25">
      <c r="A36" s="1" t="s">
        <v>83</v>
      </c>
      <c r="B36" s="44">
        <v>0</v>
      </c>
      <c r="C36" s="44">
        <v>0</v>
      </c>
      <c r="D36" s="44">
        <v>16.3</v>
      </c>
      <c r="E36" s="44">
        <v>16</v>
      </c>
      <c r="F36" s="44">
        <v>19</v>
      </c>
      <c r="G36" s="44">
        <v>21</v>
      </c>
      <c r="H36" s="44">
        <v>29</v>
      </c>
      <c r="I36" s="44">
        <v>152</v>
      </c>
      <c r="J36" s="137">
        <f t="shared" si="34"/>
        <v>97.346428571425349</v>
      </c>
      <c r="K36" s="137">
        <f t="shared" si="35"/>
        <v>118.88035714285797</v>
      </c>
      <c r="L36" s="137">
        <f t="shared" si="36"/>
        <v>140.75127551019978</v>
      </c>
      <c r="M36" s="138">
        <f>J36</f>
        <v>97.346428571425349</v>
      </c>
      <c r="N36" s="138">
        <f t="shared" si="33"/>
        <v>118.88035714285797</v>
      </c>
      <c r="O36" s="138">
        <f t="shared" si="33"/>
        <v>140.75127551019978</v>
      </c>
    </row>
    <row r="37" spans="1:15" x14ac:dyDescent="0.25">
      <c r="A37" s="1" t="s">
        <v>84</v>
      </c>
      <c r="B37" s="44">
        <v>-5105.5999999999995</v>
      </c>
      <c r="C37" s="44">
        <v>-5782.7</v>
      </c>
      <c r="D37" s="44">
        <v>-7372.5</v>
      </c>
      <c r="E37" s="44">
        <v>-10321</v>
      </c>
      <c r="F37" s="44">
        <v>-13104</v>
      </c>
      <c r="G37" s="44">
        <v>-7184</v>
      </c>
      <c r="H37" s="44">
        <v>-10309</v>
      </c>
      <c r="I37" s="44">
        <v>-10684</v>
      </c>
      <c r="J37" s="137">
        <f t="shared" si="34"/>
        <v>-12155.946428571362</v>
      </c>
      <c r="K37" s="137">
        <f t="shared" si="35"/>
        <v>-12572.048214285867</v>
      </c>
      <c r="L37" s="137">
        <f t="shared" si="36"/>
        <v>-12682.62806122459</v>
      </c>
      <c r="M37" s="138">
        <f>J37+Project!$D$25</f>
        <v>-11807.276930321363</v>
      </c>
      <c r="N37" s="138">
        <f>K37+Project!$D$25</f>
        <v>-12223.378716035868</v>
      </c>
      <c r="O37" s="138">
        <f>L37+Project!$D$25</f>
        <v>-12333.958562974591</v>
      </c>
    </row>
    <row r="38" spans="1:15" x14ac:dyDescent="0.25">
      <c r="A38" s="1" t="s">
        <v>85</v>
      </c>
      <c r="B38" s="44">
        <v>-168.8</v>
      </c>
      <c r="C38" s="44">
        <v>-96.4</v>
      </c>
      <c r="D38" s="44">
        <v>21.4</v>
      </c>
      <c r="E38" s="44">
        <v>-17</v>
      </c>
      <c r="F38" s="44">
        <v>-15</v>
      </c>
      <c r="G38" s="44">
        <v>1</v>
      </c>
      <c r="H38" s="44">
        <v>-1</v>
      </c>
      <c r="I38" s="44">
        <v>6</v>
      </c>
      <c r="J38" s="137">
        <f t="shared" si="34"/>
        <v>54.207142857150757</v>
      </c>
      <c r="K38" s="137">
        <f t="shared" si="35"/>
        <v>49.932142857145664</v>
      </c>
      <c r="L38" s="137">
        <f t="shared" si="36"/>
        <v>45.483163265311305</v>
      </c>
      <c r="M38" s="138">
        <f>J38</f>
        <v>54.207142857150757</v>
      </c>
      <c r="N38" s="138">
        <f t="shared" ref="N38:O39" si="37">K38</f>
        <v>49.932142857145664</v>
      </c>
      <c r="O38" s="138">
        <f t="shared" si="37"/>
        <v>45.483163265311305</v>
      </c>
    </row>
    <row r="39" spans="1:15" ht="15.75" thickBot="1" x14ac:dyDescent="0.3">
      <c r="A39" s="46" t="s">
        <v>86</v>
      </c>
      <c r="B39" s="136">
        <v>39.799999999999997</v>
      </c>
      <c r="C39" s="136">
        <v>46.699999999999996</v>
      </c>
      <c r="D39" s="136">
        <v>80.099999999999994</v>
      </c>
      <c r="E39" s="136">
        <v>1218</v>
      </c>
      <c r="F39" s="136">
        <v>255</v>
      </c>
      <c r="G39" s="136">
        <v>1246</v>
      </c>
      <c r="H39" s="136">
        <v>53</v>
      </c>
      <c r="I39" s="136">
        <v>71</v>
      </c>
      <c r="J39" s="143">
        <f t="shared" si="34"/>
        <v>525.375</v>
      </c>
      <c r="K39" s="143">
        <f t="shared" si="35"/>
        <v>479.81964285713912</v>
      </c>
      <c r="L39" s="143">
        <f t="shared" si="36"/>
        <v>361.92500000000291</v>
      </c>
      <c r="M39" s="144">
        <f>J39</f>
        <v>525.375</v>
      </c>
      <c r="N39" s="144">
        <f t="shared" si="37"/>
        <v>479.81964285713912</v>
      </c>
      <c r="O39" s="144">
        <f t="shared" si="37"/>
        <v>361.92500000000291</v>
      </c>
    </row>
    <row r="40" spans="1:15" ht="16.5" thickTop="1" thickBot="1" x14ac:dyDescent="0.3">
      <c r="A40" s="45" t="s">
        <v>87</v>
      </c>
      <c r="B40" s="134">
        <v>1672.6000000000001</v>
      </c>
      <c r="C40" s="134">
        <v>1053.3999999999999</v>
      </c>
      <c r="D40" s="134">
        <v>-331.5999999999998</v>
      </c>
      <c r="E40" s="134">
        <v>-1904</v>
      </c>
      <c r="F40" s="134">
        <v>-4742</v>
      </c>
      <c r="G40" s="134">
        <v>2233</v>
      </c>
      <c r="H40" s="134">
        <v>-1609</v>
      </c>
      <c r="I40" s="134">
        <v>3296</v>
      </c>
      <c r="J40" s="141">
        <f>SUBTOTAL(9,J34:J39)</f>
        <v>630.78758166129046</v>
      </c>
      <c r="K40" s="141">
        <f t="shared" ref="K40:L40" si="38">SUBTOTAL(9,K34:K39)</f>
        <v>1422.7937908303757</v>
      </c>
      <c r="L40" s="141">
        <f t="shared" si="38"/>
        <v>2514.6134453534869</v>
      </c>
      <c r="M40" s="142">
        <f>SUBTOTAL(9,M34:M39)</f>
        <v>979.45707991128984</v>
      </c>
      <c r="N40" s="142">
        <f t="shared" ref="N40:O40" si="39">SUBTOTAL(9,N34:N39)</f>
        <v>1771.463289080375</v>
      </c>
      <c r="O40" s="142">
        <f t="shared" si="39"/>
        <v>2863.2829436034863</v>
      </c>
    </row>
    <row r="41" spans="1:15" ht="15.75" thickTop="1" x14ac:dyDescent="0.25">
      <c r="A41" s="3" t="s">
        <v>88</v>
      </c>
      <c r="B41" s="132">
        <v>28587.699999999997</v>
      </c>
      <c r="C41" s="132">
        <v>28515.599999999999</v>
      </c>
      <c r="D41" s="132">
        <v>27998.100000000002</v>
      </c>
      <c r="E41" s="132">
        <v>24703.7</v>
      </c>
      <c r="F41" s="132">
        <v>23328</v>
      </c>
      <c r="G41" s="132">
        <v>12206</v>
      </c>
      <c r="H41" s="132">
        <v>14923</v>
      </c>
      <c r="I41" s="132">
        <v>25512</v>
      </c>
      <c r="J41" s="139">
        <f>SUM(J32+J40)</f>
        <v>16264.187581661197</v>
      </c>
      <c r="K41" s="139">
        <f t="shared" ref="K41:M41" si="40">SUM(K32+K40)</f>
        <v>14593.800933687613</v>
      </c>
      <c r="L41" s="139">
        <f t="shared" si="40"/>
        <v>13391.356302496304</v>
      </c>
      <c r="M41" s="140">
        <f t="shared" si="40"/>
        <v>16612.857079911199</v>
      </c>
      <c r="N41" s="140">
        <f t="shared" ref="N41" si="41">SUM(N32+N40)</f>
        <v>14942.470431937612</v>
      </c>
      <c r="O41" s="140">
        <f t="shared" ref="O41" si="42">SUM(O32+O40)</f>
        <v>13740.025800746304</v>
      </c>
    </row>
    <row r="42" spans="1:15" x14ac:dyDescent="0.25">
      <c r="A42" s="1"/>
      <c r="B42" s="6" t="s">
        <v>25</v>
      </c>
      <c r="C42" s="6" t="s">
        <v>25</v>
      </c>
      <c r="D42" s="6" t="s">
        <v>25</v>
      </c>
      <c r="E42" s="6" t="s">
        <v>25</v>
      </c>
      <c r="F42" s="6" t="s">
        <v>25</v>
      </c>
      <c r="G42" s="6" t="s">
        <v>25</v>
      </c>
      <c r="H42" s="6" t="s">
        <v>25</v>
      </c>
      <c r="I42" s="6" t="s">
        <v>25</v>
      </c>
    </row>
    <row r="43" spans="1:15" x14ac:dyDescent="0.25">
      <c r="A43" s="3" t="s">
        <v>48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0" t="s">
        <v>25</v>
      </c>
      <c r="H43" s="10" t="s">
        <v>25</v>
      </c>
      <c r="I43" s="10" t="s">
        <v>25</v>
      </c>
    </row>
    <row r="44" spans="1:15" x14ac:dyDescent="0.25">
      <c r="A44" s="3" t="s">
        <v>49</v>
      </c>
      <c r="B44" s="10" t="s">
        <v>25</v>
      </c>
      <c r="C44" s="10" t="s">
        <v>25</v>
      </c>
      <c r="D44" s="10" t="s">
        <v>25</v>
      </c>
      <c r="E44" s="10" t="s">
        <v>25</v>
      </c>
      <c r="F44" s="10" t="s">
        <v>25</v>
      </c>
      <c r="G44" s="10" t="s">
        <v>25</v>
      </c>
      <c r="H44" s="10" t="s">
        <v>25</v>
      </c>
      <c r="I44" s="10" t="s">
        <v>25</v>
      </c>
    </row>
    <row r="45" spans="1:15" x14ac:dyDescent="0.25">
      <c r="A45" s="3" t="s">
        <v>89</v>
      </c>
      <c r="B45" s="10">
        <v>125.092530498</v>
      </c>
      <c r="C45" s="10">
        <v>125.10000000000042</v>
      </c>
      <c r="D45" s="10">
        <v>125.4</v>
      </c>
      <c r="E45" s="10">
        <v>137</v>
      </c>
      <c r="F45" s="10">
        <v>145</v>
      </c>
      <c r="G45" s="10">
        <v>145</v>
      </c>
      <c r="H45" s="10">
        <v>147</v>
      </c>
      <c r="I45" s="10">
        <v>684</v>
      </c>
    </row>
    <row r="46" spans="1:15" hidden="1" x14ac:dyDescent="0.25">
      <c r="A46" s="3" t="s">
        <v>90</v>
      </c>
      <c r="B46" s="10">
        <v>0</v>
      </c>
      <c r="C46" s="10">
        <v>0</v>
      </c>
      <c r="D46" s="10">
        <v>2.1</v>
      </c>
      <c r="E46" s="10">
        <v>2</v>
      </c>
      <c r="F46" s="10">
        <v>2</v>
      </c>
      <c r="G46" s="10">
        <v>2</v>
      </c>
      <c r="H46" s="10">
        <v>3</v>
      </c>
      <c r="I46" s="10">
        <v>12</v>
      </c>
    </row>
    <row r="47" spans="1:15" hidden="1" x14ac:dyDescent="0.25">
      <c r="A47" s="3" t="s">
        <v>91</v>
      </c>
      <c r="B47" s="10" t="s">
        <v>25</v>
      </c>
      <c r="C47" s="10" t="s">
        <v>25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15" x14ac:dyDescent="0.25">
      <c r="A48" s="3" t="s">
        <v>92</v>
      </c>
      <c r="B48" s="10">
        <v>2210.6</v>
      </c>
      <c r="C48" s="10">
        <v>2168.6999999999998</v>
      </c>
      <c r="D48" s="10">
        <v>1624.6999999999998</v>
      </c>
      <c r="E48" s="10">
        <v>1341.5</v>
      </c>
      <c r="F48" s="10">
        <v>1280</v>
      </c>
      <c r="G48" s="10">
        <v>755</v>
      </c>
      <c r="H48" s="10">
        <v>1139</v>
      </c>
      <c r="I48" s="10">
        <v>1296</v>
      </c>
    </row>
    <row r="49" spans="1:12" x14ac:dyDescent="0.25">
      <c r="A49" s="3" t="s">
        <v>93</v>
      </c>
      <c r="B49" s="10">
        <v>9.4</v>
      </c>
      <c r="C49" s="10">
        <v>13.6</v>
      </c>
      <c r="D49" s="10">
        <v>35.9</v>
      </c>
      <c r="E49" s="10">
        <v>22.2</v>
      </c>
      <c r="F49" s="10">
        <v>32</v>
      </c>
      <c r="G49" s="10">
        <v>8</v>
      </c>
      <c r="H49" s="10">
        <v>2</v>
      </c>
      <c r="I49" s="10">
        <v>0</v>
      </c>
    </row>
    <row r="50" spans="1:12" x14ac:dyDescent="0.25">
      <c r="A50" s="3" t="s">
        <v>94</v>
      </c>
      <c r="B50" s="10">
        <v>2.37276949</v>
      </c>
      <c r="C50" s="10">
        <v>2.2524569999992061</v>
      </c>
      <c r="D50" s="10">
        <v>8.1739440000000005</v>
      </c>
      <c r="E50" s="10">
        <v>0.55081199999999997</v>
      </c>
      <c r="F50" s="10">
        <v>1.5007699999999999</v>
      </c>
      <c r="G50" s="10">
        <v>1.8443319999999999</v>
      </c>
      <c r="H50" s="10">
        <v>0</v>
      </c>
      <c r="I50" s="10">
        <v>0.897204</v>
      </c>
    </row>
    <row r="51" spans="1:12" x14ac:dyDescent="0.25">
      <c r="A51" s="3" t="s">
        <v>95</v>
      </c>
      <c r="B51" s="10">
        <v>7.3895674839999996</v>
      </c>
      <c r="C51" s="10">
        <v>8.7446490000004466</v>
      </c>
      <c r="D51" s="10">
        <v>8.4781479999999991</v>
      </c>
      <c r="E51" s="10">
        <v>8.4638109999999998</v>
      </c>
      <c r="F51" s="10">
        <v>9.3798849999999998</v>
      </c>
      <c r="G51" s="10">
        <v>10.638218999999999</v>
      </c>
      <c r="H51" s="10">
        <v>9.8201679999999989</v>
      </c>
      <c r="I51" s="10">
        <v>9.2278900000000004</v>
      </c>
    </row>
    <row r="52" spans="1:12" x14ac:dyDescent="0.25">
      <c r="A52" s="3" t="s">
        <v>96</v>
      </c>
      <c r="B52" s="10">
        <v>17854.099999999999</v>
      </c>
      <c r="C52" s="10">
        <v>18908.7</v>
      </c>
      <c r="D52" s="10">
        <v>19654.600000000002</v>
      </c>
      <c r="E52" s="10">
        <v>18358.7</v>
      </c>
      <c r="F52" s="10">
        <v>20223</v>
      </c>
      <c r="G52" s="10">
        <v>5743</v>
      </c>
      <c r="H52" s="10">
        <v>5300</v>
      </c>
      <c r="I52" s="10">
        <v>15793</v>
      </c>
      <c r="L52" s="6"/>
    </row>
    <row r="53" spans="1:12" x14ac:dyDescent="0.25">
      <c r="A53" s="3" t="s">
        <v>97</v>
      </c>
      <c r="B53" s="10">
        <v>1067.4458926222644</v>
      </c>
      <c r="C53" s="10">
        <v>1795.0161382191002</v>
      </c>
      <c r="D53" s="10" t="s">
        <v>25</v>
      </c>
      <c r="E53" s="10" t="s">
        <v>25</v>
      </c>
      <c r="F53" s="10" t="s">
        <v>25</v>
      </c>
      <c r="G53" s="10">
        <v>257.18763994626062</v>
      </c>
      <c r="H53" s="10" t="s">
        <v>25</v>
      </c>
      <c r="I53" s="10">
        <v>479.15655339805829</v>
      </c>
    </row>
    <row r="54" spans="1:12" x14ac:dyDescent="0.25">
      <c r="A54" s="3" t="s">
        <v>98</v>
      </c>
      <c r="B54" s="10">
        <v>-31.776582742605719</v>
      </c>
      <c r="C54" s="10">
        <v>-32.305213543670646</v>
      </c>
      <c r="D54" s="10">
        <v>-36.244311124539017</v>
      </c>
      <c r="E54" s="10">
        <v>-53.330025361120306</v>
      </c>
      <c r="F54" s="10">
        <v>-59.022007635302046</v>
      </c>
      <c r="G54" s="10">
        <v>-11.079207920792079</v>
      </c>
      <c r="H54" s="10">
        <v>-28.745536407390155</v>
      </c>
      <c r="I54" s="10">
        <v>-10.946833930704898</v>
      </c>
    </row>
    <row r="55" spans="1:12" x14ac:dyDescent="0.25">
      <c r="A55" s="3" t="s">
        <v>99</v>
      </c>
      <c r="B55" s="10">
        <v>1.131223148850139</v>
      </c>
      <c r="C55" s="10">
        <v>1.1462440728724732</v>
      </c>
      <c r="D55" s="10">
        <v>1.3497662558436039</v>
      </c>
      <c r="E55" s="10">
        <v>1.4809286247397573</v>
      </c>
      <c r="F55" s="10">
        <v>0.20306704312683385</v>
      </c>
      <c r="G55" s="10">
        <v>0.97172619047619047</v>
      </c>
      <c r="H55" s="10">
        <v>0.64894580261285728</v>
      </c>
      <c r="I55" s="10">
        <v>1.8320974576271187</v>
      </c>
    </row>
    <row r="56" spans="1:12" x14ac:dyDescent="0.25">
      <c r="A56" s="3" t="s">
        <v>100</v>
      </c>
      <c r="B56" s="10">
        <v>-0.63618308320677741</v>
      </c>
      <c r="C56" s="10">
        <v>0.88377669476015441</v>
      </c>
      <c r="D56" s="10">
        <v>5.3682166395830677E-2</v>
      </c>
      <c r="E56" s="10">
        <v>-3.9478208844649814</v>
      </c>
      <c r="F56" s="10">
        <v>-4.1460497774532143</v>
      </c>
      <c r="G56" s="10">
        <v>-14.811961925370994</v>
      </c>
      <c r="H56" s="10">
        <v>-20.977387660225162</v>
      </c>
      <c r="I56" s="10">
        <v>-12.735033569219404</v>
      </c>
    </row>
    <row r="57" spans="1:12" x14ac:dyDescent="0.25">
      <c r="A57" s="3" t="s">
        <v>101</v>
      </c>
      <c r="B57" s="10">
        <v>70000</v>
      </c>
      <c r="C57" s="10">
        <v>70000</v>
      </c>
      <c r="D57" s="10">
        <v>68000</v>
      </c>
      <c r="E57" s="10">
        <v>68000</v>
      </c>
      <c r="F57" s="10">
        <v>68000</v>
      </c>
      <c r="G57" s="10">
        <v>68000</v>
      </c>
      <c r="H57" s="10">
        <v>68000</v>
      </c>
      <c r="I57" s="10">
        <v>65000</v>
      </c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B72" s="1"/>
      <c r="C72" s="1"/>
      <c r="D72" s="1"/>
      <c r="E72" s="1"/>
      <c r="F72" s="1"/>
      <c r="G72" s="1"/>
      <c r="H72" s="1"/>
      <c r="I72" s="1"/>
    </row>
    <row r="73" spans="1:9" x14ac:dyDescent="0.25">
      <c r="B73" s="1"/>
      <c r="C73" s="1"/>
      <c r="D73" s="1"/>
      <c r="E73" s="1"/>
      <c r="F73" s="1"/>
      <c r="G73" s="1"/>
      <c r="H73" s="1"/>
      <c r="I73" s="1"/>
    </row>
    <row r="74" spans="1:9" x14ac:dyDescent="0.25">
      <c r="B74" s="1"/>
      <c r="C74" s="1"/>
      <c r="D74" s="1"/>
      <c r="E74" s="1"/>
      <c r="F74" s="1"/>
      <c r="G74" s="1"/>
      <c r="H74" s="1"/>
      <c r="I74" s="1"/>
    </row>
    <row r="75" spans="1:9" x14ac:dyDescent="0.25">
      <c r="B75" s="1"/>
      <c r="C75" s="1"/>
      <c r="D75" s="1"/>
      <c r="E75" s="1"/>
      <c r="F75" s="1"/>
      <c r="G75" s="1"/>
      <c r="H75" s="1"/>
      <c r="I75" s="1"/>
    </row>
    <row r="76" spans="1:9" x14ac:dyDescent="0.25">
      <c r="B76" s="1"/>
      <c r="C76" s="1"/>
      <c r="D76" s="1"/>
      <c r="E76" s="1"/>
      <c r="F76" s="1"/>
      <c r="G76" s="1"/>
      <c r="H76" s="1"/>
      <c r="I76" s="1"/>
    </row>
    <row r="77" spans="1:9" x14ac:dyDescent="0.25">
      <c r="B77" s="1"/>
      <c r="C77" s="1"/>
      <c r="D77" s="1"/>
      <c r="E77" s="1"/>
      <c r="F77" s="1"/>
      <c r="G77" s="1"/>
      <c r="H77" s="1"/>
      <c r="I77" s="1"/>
    </row>
    <row r="78" spans="1:9" x14ac:dyDescent="0.25">
      <c r="B78" s="1"/>
      <c r="C78" s="1"/>
      <c r="D78" s="1"/>
      <c r="E78" s="1"/>
      <c r="F78" s="1"/>
      <c r="G78" s="1"/>
      <c r="H78" s="1"/>
      <c r="I78" s="1"/>
    </row>
    <row r="79" spans="1:9" x14ac:dyDescent="0.25">
      <c r="B79" s="1"/>
      <c r="C79" s="1"/>
      <c r="D79" s="1"/>
      <c r="E79" s="1"/>
      <c r="F79" s="1"/>
      <c r="G79" s="1"/>
      <c r="H79" s="1"/>
      <c r="I79" s="1"/>
    </row>
  </sheetData>
  <mergeCells count="2">
    <mergeCell ref="J1:L1"/>
    <mergeCell ref="M1:O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zoomScale="75" workbookViewId="0">
      <selection activeCell="M10" sqref="M10"/>
    </sheetView>
  </sheetViews>
  <sheetFormatPr defaultRowHeight="15" x14ac:dyDescent="0.25"/>
  <cols>
    <col min="1" max="1" width="39.7109375" bestFit="1" customWidth="1"/>
    <col min="2" max="12" width="9.140625" bestFit="1" customWidth="1"/>
  </cols>
  <sheetData>
    <row r="1" spans="1:15" s="7" customFormat="1" x14ac:dyDescent="0.25"/>
    <row r="2" spans="1:15" s="7" customFormat="1" x14ac:dyDescent="0.25"/>
    <row r="3" spans="1:15" x14ac:dyDescent="0.25">
      <c r="B3" s="113" t="s">
        <v>156</v>
      </c>
      <c r="C3" s="113"/>
      <c r="D3" s="113"/>
      <c r="E3" s="113"/>
      <c r="F3" s="113"/>
      <c r="G3" s="113"/>
      <c r="H3" s="113"/>
      <c r="I3" s="113"/>
      <c r="J3" s="113" t="s">
        <v>121</v>
      </c>
      <c r="K3" s="113"/>
      <c r="L3" s="113"/>
      <c r="M3" s="113" t="s">
        <v>121</v>
      </c>
      <c r="N3" s="113"/>
      <c r="O3" s="113"/>
    </row>
    <row r="4" spans="1:15" s="7" customFormat="1" ht="15.75" thickBot="1" x14ac:dyDescent="0.3">
      <c r="B4" s="35">
        <v>2010</v>
      </c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J4" s="28">
        <v>2018</v>
      </c>
      <c r="K4" s="28">
        <v>2019</v>
      </c>
      <c r="L4" s="28">
        <v>2020</v>
      </c>
      <c r="M4" s="123">
        <v>2018</v>
      </c>
      <c r="N4" s="123">
        <v>2019</v>
      </c>
      <c r="O4" s="123">
        <v>2020</v>
      </c>
    </row>
    <row r="5" spans="1:15" x14ac:dyDescent="0.25">
      <c r="A5" s="42" t="s">
        <v>135</v>
      </c>
      <c r="B5" s="47"/>
      <c r="C5" s="47"/>
      <c r="D5" s="47"/>
      <c r="E5" s="47"/>
      <c r="F5" s="47"/>
      <c r="G5" s="47"/>
      <c r="H5" s="47"/>
      <c r="I5" s="47"/>
      <c r="J5" s="145"/>
      <c r="K5" s="145"/>
      <c r="L5" s="145"/>
      <c r="M5" s="150"/>
      <c r="N5" s="125"/>
      <c r="O5" s="125"/>
    </row>
    <row r="6" spans="1:15" x14ac:dyDescent="0.25">
      <c r="A6" s="3" t="s">
        <v>136</v>
      </c>
      <c r="B6" s="48">
        <f>'Balance Sheet'!B18/'Balance Sheet'!B$23</f>
        <v>6.2631831172147462E-2</v>
      </c>
      <c r="C6" s="48">
        <f>'Balance Sheet'!C18/'Balance Sheet'!C$23</f>
        <v>6.4427892101165674E-2</v>
      </c>
      <c r="D6" s="48">
        <f>'Balance Sheet'!D18/'Balance Sheet'!D$23</f>
        <v>0.12477989577864212</v>
      </c>
      <c r="E6" s="48">
        <f>'Balance Sheet'!E18/'Balance Sheet'!E$23</f>
        <v>0.15269958281015836</v>
      </c>
      <c r="F6" s="48">
        <f>'Balance Sheet'!F18/'Balance Sheet'!F$23</f>
        <v>0.15723593964334706</v>
      </c>
      <c r="G6" s="48">
        <f>'Balance Sheet'!G18/'Balance Sheet'!G$23</f>
        <v>0.16049483860396527</v>
      </c>
      <c r="H6" s="48">
        <f>'Balance Sheet'!H18/'Balance Sheet'!H$23</f>
        <v>0.33619245460028147</v>
      </c>
      <c r="I6" s="48">
        <f>'Balance Sheet'!I18/'Balance Sheet'!I$23</f>
        <v>0.13558325493885232</v>
      </c>
      <c r="J6" s="146">
        <f>'Balance Sheet'!J18/'Balance Sheet'!J$23</f>
        <v>0.17295277199312906</v>
      </c>
      <c r="K6" s="146">
        <f>'Balance Sheet'!K18/'Balance Sheet'!K$23</f>
        <v>0.21080432376325653</v>
      </c>
      <c r="L6" s="146">
        <f>'Balance Sheet'!L18/'Balance Sheet'!L$23</f>
        <v>0.23973244233452581</v>
      </c>
      <c r="M6" s="151">
        <f>'Balance Sheet'!M18/'Balance Sheet'!M$23</f>
        <v>0.13577470141179768</v>
      </c>
      <c r="N6" s="151">
        <f>'Balance Sheet'!N18/'Balance Sheet'!N$23</f>
        <v>0.179095054123664</v>
      </c>
      <c r="O6" s="151">
        <f>'Balance Sheet'!O18/'Balance Sheet'!O$23</f>
        <v>0.20379750582004019</v>
      </c>
    </row>
    <row r="7" spans="1:15" x14ac:dyDescent="0.25">
      <c r="A7" s="7" t="s">
        <v>137</v>
      </c>
      <c r="B7" s="48">
        <f>'Balance Sheet'!B7/'Balance Sheet'!B$23</f>
        <v>3.4525337820111447E-2</v>
      </c>
      <c r="C7" s="48">
        <f>'Balance Sheet'!C7/'Balance Sheet'!C$23</f>
        <v>3.1253068495840877E-2</v>
      </c>
      <c r="D7" s="48">
        <f>'Balance Sheet'!D7/'Balance Sheet'!D$23</f>
        <v>6.2772116679346096E-2</v>
      </c>
      <c r="E7" s="48">
        <f>'Balance Sheet'!E7/'Balance Sheet'!E$23</f>
        <v>0.11223621855887238</v>
      </c>
      <c r="F7" s="48">
        <f>'Balance Sheet'!F7/'Balance Sheet'!F$23</f>
        <v>0.12028463648834019</v>
      </c>
      <c r="G7" s="48">
        <f>'Balance Sheet'!G7/'Balance Sheet'!G$23</f>
        <v>0.10052433229559234</v>
      </c>
      <c r="H7" s="48">
        <f>'Balance Sheet'!H7/'Balance Sheet'!H$23</f>
        <v>0.1031964082289084</v>
      </c>
      <c r="I7" s="48">
        <f>'Balance Sheet'!I7/'Balance Sheet'!I$23</f>
        <v>0.10026654123549703</v>
      </c>
      <c r="J7" s="146">
        <f>'Balance Sheet'!J7/'Balance Sheet'!J$23</f>
        <v>9.292931790393584E-2</v>
      </c>
      <c r="K7" s="146">
        <f>'Balance Sheet'!K7/'Balance Sheet'!K$23</f>
        <v>0.11371079417100857</v>
      </c>
      <c r="L7" s="146">
        <f>'Balance Sheet'!L7/'Balance Sheet'!L$23</f>
        <v>0.12585140108223986</v>
      </c>
      <c r="M7" s="151">
        <f>'Balance Sheet'!M7/'Balance Sheet'!M$23</f>
        <v>8.195065110079891E-2</v>
      </c>
      <c r="N7" s="151">
        <f>'Balance Sheet'!N7/'Balance Sheet'!N$23</f>
        <v>0.10664270043690209</v>
      </c>
      <c r="O7" s="151">
        <f>'Balance Sheet'!O7/'Balance Sheet'!O$23</f>
        <v>0.11707492174604753</v>
      </c>
    </row>
    <row r="8" spans="1:15" x14ac:dyDescent="0.25">
      <c r="A8" s="7" t="s">
        <v>138</v>
      </c>
      <c r="B8" s="48">
        <f>'Balance Sheet'!B9/'Balance Sheet'!B$23</f>
        <v>1.3754167001892423E-2</v>
      </c>
      <c r="C8" s="48">
        <f>'Balance Sheet'!C9/'Balance Sheet'!C$23</f>
        <v>1.7127467070656061E-2</v>
      </c>
      <c r="D8" s="48">
        <f>'Balance Sheet'!D9/'Balance Sheet'!D$23</f>
        <v>2.0733549776591986E-2</v>
      </c>
      <c r="E8" s="48">
        <f>'Balance Sheet'!E9/'Balance Sheet'!E$23</f>
        <v>2.5112398234031351E-2</v>
      </c>
      <c r="F8" s="48">
        <f>'Balance Sheet'!F9/'Balance Sheet'!F$23</f>
        <v>2.2205075445816187E-2</v>
      </c>
      <c r="G8" s="48">
        <f>'Balance Sheet'!G9/'Balance Sheet'!G$23</f>
        <v>1.0978207438964443E-2</v>
      </c>
      <c r="H8" s="48">
        <f>'Balance Sheet'!H9/'Balance Sheet'!H$23</f>
        <v>1.0721704751055418E-2</v>
      </c>
      <c r="I8" s="48">
        <f>'Balance Sheet'!I9/'Balance Sheet'!I$23</f>
        <v>1.9441831295076827E-2</v>
      </c>
      <c r="J8" s="146">
        <f>'Balance Sheet'!J9/'Balance Sheet'!J$23</f>
        <v>1.1059073624624613E-2</v>
      </c>
      <c r="K8" s="146">
        <f>'Balance Sheet'!K9/'Balance Sheet'!K$23</f>
        <v>9.9784010095840432E-3</v>
      </c>
      <c r="L8" s="146">
        <f>'Balance Sheet'!L9/'Balance Sheet'!L$23</f>
        <v>8.1413922804486893E-3</v>
      </c>
      <c r="M8" s="151">
        <f>'Balance Sheet'!M9/'Balance Sheet'!M$23</f>
        <v>8.5575005410647928E-3</v>
      </c>
      <c r="N8" s="151">
        <f>'Balance Sheet'!N9/'Balance Sheet'!N$23</f>
        <v>8.2286050615189132E-3</v>
      </c>
      <c r="O8" s="151">
        <f>'Balance Sheet'!O9/'Balance Sheet'!O$23</f>
        <v>6.6160250184270431E-3</v>
      </c>
    </row>
    <row r="9" spans="1:15" ht="15.75" thickBot="1" x14ac:dyDescent="0.3">
      <c r="A9" s="7" t="s">
        <v>139</v>
      </c>
      <c r="B9" s="50">
        <f>'Balance Sheet'!B13/'Balance Sheet'!B$23</f>
        <v>1.2589330376350669E-2</v>
      </c>
      <c r="C9" s="50">
        <f>'Balance Sheet'!C13/'Balance Sheet'!C$23</f>
        <v>1.4483300368920872E-2</v>
      </c>
      <c r="D9" s="50">
        <f>'Balance Sheet'!D13/'Balance Sheet'!D$23</f>
        <v>3.9416960436601055E-2</v>
      </c>
      <c r="E9" s="50">
        <f>'Balance Sheet'!E13/'Balance Sheet'!E$23</f>
        <v>1.3528291951881405E-2</v>
      </c>
      <c r="F9" s="50">
        <f>'Balance Sheet'!F13/'Balance Sheet'!F$23</f>
        <v>1.2902949245541839E-2</v>
      </c>
      <c r="G9" s="50">
        <f>'Balance Sheet'!G13/'Balance Sheet'!G$23</f>
        <v>4.7271833524496147E-2</v>
      </c>
      <c r="H9" s="50">
        <f>'Balance Sheet'!H13/'Balance Sheet'!H$23</f>
        <v>0.22093412852643571</v>
      </c>
      <c r="I9" s="50">
        <f>'Balance Sheet'!I13/'Balance Sheet'!I$23</f>
        <v>1.4346190028222013E-2</v>
      </c>
      <c r="J9" s="147">
        <f>'Balance Sheet'!J13/'Balance Sheet'!J$23</f>
        <v>5.7033554873716585E-2</v>
      </c>
      <c r="K9" s="147">
        <f>'Balance Sheet'!K13/'Balance Sheet'!K$23</f>
        <v>7.626902662564379E-2</v>
      </c>
      <c r="L9" s="147">
        <f>'Balance Sheet'!L13/'Balance Sheet'!L$23</f>
        <v>9.6859403508065323E-2</v>
      </c>
      <c r="M9" s="152">
        <f>'Balance Sheet'!M13/'Balance Sheet'!M$23</f>
        <v>4.4132509942237136E-2</v>
      </c>
      <c r="N9" s="152">
        <f>'Balance Sheet'!N13/'Balance Sheet'!N$23</f>
        <v>6.289461587343588E-2</v>
      </c>
      <c r="O9" s="152">
        <f>'Balance Sheet'!O13/'Balance Sheet'!O$23</f>
        <v>7.8711873203579752E-2</v>
      </c>
    </row>
    <row r="10" spans="1:15" x14ac:dyDescent="0.25">
      <c r="A10" s="22" t="s">
        <v>68</v>
      </c>
      <c r="B10" s="40">
        <f>'Balance Sheet'!B18/'Balance Sheet'!B$23</f>
        <v>6.2631831172147462E-2</v>
      </c>
      <c r="C10" s="40">
        <f>'Balance Sheet'!C18/'Balance Sheet'!C$23</f>
        <v>6.4427892101165674E-2</v>
      </c>
      <c r="D10" s="40">
        <f>'Balance Sheet'!D18/'Balance Sheet'!D$23</f>
        <v>0.12477989577864212</v>
      </c>
      <c r="E10" s="40">
        <f>'Balance Sheet'!E18/'Balance Sheet'!E$23</f>
        <v>0.15269958281015836</v>
      </c>
      <c r="F10" s="40">
        <f>'Balance Sheet'!F18/'Balance Sheet'!F$23</f>
        <v>0.15723593964334706</v>
      </c>
      <c r="G10" s="40">
        <f>'Balance Sheet'!G18/'Balance Sheet'!G$23</f>
        <v>0.16049483860396527</v>
      </c>
      <c r="H10" s="40">
        <f>'Balance Sheet'!H18/'Balance Sheet'!H$23</f>
        <v>0.33619245460028147</v>
      </c>
      <c r="I10" s="40">
        <f>'Balance Sheet'!I18/'Balance Sheet'!I$23</f>
        <v>0.13558325493885232</v>
      </c>
      <c r="J10" s="33">
        <f>'Balance Sheet'!J18/'Balance Sheet'!J$23</f>
        <v>0.17295277199312906</v>
      </c>
      <c r="K10" s="33">
        <f>'Balance Sheet'!K18/'Balance Sheet'!K$23</f>
        <v>0.21080432376325653</v>
      </c>
      <c r="L10" s="33">
        <f>'Balance Sheet'!L18/'Balance Sheet'!L$23</f>
        <v>0.23973244233452581</v>
      </c>
      <c r="M10" s="122">
        <f>'Balance Sheet'!M18/'Balance Sheet'!M$23</f>
        <v>0.13577470141179768</v>
      </c>
      <c r="N10" s="122">
        <f>'Balance Sheet'!N18/'Balance Sheet'!N$23</f>
        <v>0.179095054123664</v>
      </c>
      <c r="O10" s="122">
        <f>'Balance Sheet'!O18/'Balance Sheet'!O$23</f>
        <v>0.20379750582004019</v>
      </c>
    </row>
    <row r="11" spans="1:15" x14ac:dyDescent="0.25">
      <c r="A11" s="7" t="s">
        <v>140</v>
      </c>
      <c r="B11" s="48">
        <f>'Balance Sheet'!B19/'Balance Sheet'!B$23</f>
        <v>0.69113989582932522</v>
      </c>
      <c r="C11" s="48">
        <f>'Balance Sheet'!C19/'Balance Sheet'!C$23</f>
        <v>0.66724179045855603</v>
      </c>
      <c r="D11" s="48">
        <f>'Balance Sheet'!D19/'Balance Sheet'!D$23</f>
        <v>0.67160985924044847</v>
      </c>
      <c r="E11" s="48">
        <f>'Balance Sheet'!E19/'Balance Sheet'!E$23</f>
        <v>0.65037061039329258</v>
      </c>
      <c r="F11" s="48">
        <f>'Balance Sheet'!F19/'Balance Sheet'!F$23</f>
        <v>0.71634945130315497</v>
      </c>
      <c r="G11" s="48">
        <f>'Balance Sheet'!G19/'Balance Sheet'!G$23</f>
        <v>0.74373259052924789</v>
      </c>
      <c r="H11" s="48">
        <f>'Balance Sheet'!H19/'Balance Sheet'!H$23</f>
        <v>0.61207531997587616</v>
      </c>
      <c r="I11" s="48">
        <f>'Balance Sheet'!I19/'Balance Sheet'!I$23</f>
        <v>0.71977892756349948</v>
      </c>
      <c r="J11" s="146">
        <f>'Balance Sheet'!J19/'Balance Sheet'!J$23</f>
        <v>0.41557936944071283</v>
      </c>
      <c r="K11" s="146">
        <f>'Balance Sheet'!K19/'Balance Sheet'!K$23</f>
        <v>0.456846627342192</v>
      </c>
      <c r="L11" s="146">
        <f>'Balance Sheet'!L19/'Balance Sheet'!L$23</f>
        <v>0.49230717335308039</v>
      </c>
      <c r="M11" s="151">
        <f>'Balance Sheet'!M19/'Balance Sheet'!M$23</f>
        <v>0.42418795025125416</v>
      </c>
      <c r="N11" s="151">
        <f>'Balance Sheet'!N19/'Balance Sheet'!N$23</f>
        <v>0.37673475604710249</v>
      </c>
      <c r="O11" s="151">
        <f>'Balance Sheet'!O19/'Balance Sheet'!O$23</f>
        <v>0.40006874296880979</v>
      </c>
    </row>
    <row r="12" spans="1:15" x14ac:dyDescent="0.25">
      <c r="A12" s="7" t="s">
        <v>141</v>
      </c>
      <c r="B12" s="48">
        <f>'Balance Sheet'!B20/'Balance Sheet'!B$23</f>
        <v>6.9662827020012114E-2</v>
      </c>
      <c r="C12" s="48">
        <f>'Balance Sheet'!C20/'Balance Sheet'!C$23</f>
        <v>8.9116132923732966E-2</v>
      </c>
      <c r="D12" s="48">
        <f>'Balance Sheet'!D20/'Balance Sheet'!D$23</f>
        <v>0.11079680406884754</v>
      </c>
      <c r="E12" s="48">
        <f>'Balance Sheet'!E20/'Balance Sheet'!E$23</f>
        <v>0.11418040422860383</v>
      </c>
      <c r="F12" s="48">
        <f>'Balance Sheet'!F20/'Balance Sheet'!F$23</f>
        <v>0.13953189300411523</v>
      </c>
      <c r="G12" s="48">
        <f>'Balance Sheet'!G20/'Balance Sheet'!G$23</f>
        <v>0.12239882025233492</v>
      </c>
      <c r="H12" s="48">
        <f>'Balance Sheet'!H20/'Balance Sheet'!H$23</f>
        <v>0.11311398512363466</v>
      </c>
      <c r="I12" s="48">
        <f>'Balance Sheet'!I20/'Balance Sheet'!I$23</f>
        <v>8.368610849796175E-2</v>
      </c>
      <c r="J12" s="146">
        <f>'Balance Sheet'!J20/'Balance Sheet'!J$23</f>
        <v>7.3264917154318918E-2</v>
      </c>
      <c r="K12" s="146">
        <f>'Balance Sheet'!K20/'Balance Sheet'!K$23</f>
        <v>7.2765686048946024E-2</v>
      </c>
      <c r="L12" s="146">
        <f>'Balance Sheet'!L20/'Balance Sheet'!L$23</f>
        <v>6.8421685760752193E-2</v>
      </c>
      <c r="M12" s="151">
        <f>'Balance Sheet'!M20/'Balance Sheet'!M$23</f>
        <v>5.5305049442790515E-2</v>
      </c>
      <c r="N12" s="151">
        <f>'Balance Sheet'!N20/'Balance Sheet'!N$23</f>
        <v>5.8227386073646283E-2</v>
      </c>
      <c r="O12" s="151">
        <f>'Balance Sheet'!O20/'Balance Sheet'!O$23</f>
        <v>5.3557251083984757E-2</v>
      </c>
    </row>
    <row r="13" spans="1:15" ht="15.75" thickBot="1" x14ac:dyDescent="0.3">
      <c r="A13" s="7" t="s">
        <v>142</v>
      </c>
      <c r="B13" s="49">
        <f>'Balance Sheet'!B21/'Balance Sheet'!B$23</f>
        <v>0.31589110001853948</v>
      </c>
      <c r="C13" s="49">
        <f>'Balance Sheet'!C21/'Balance Sheet'!C$23</f>
        <v>0.35744645036401129</v>
      </c>
      <c r="D13" s="49">
        <f>'Balance Sheet'!D21/'Balance Sheet'!D$23</f>
        <v>0.31440704904975691</v>
      </c>
      <c r="E13" s="49">
        <f>'Balance Sheet'!E21/'Balance Sheet'!E$23</f>
        <v>0.31111021102515291</v>
      </c>
      <c r="F13" s="49">
        <f>'Balance Sheet'!F21/'Balance Sheet'!F$23</f>
        <v>0.26594650205761317</v>
      </c>
      <c r="G13" s="49">
        <f>'Balance Sheet'!G21/'Balance Sheet'!G$23</f>
        <v>0.21817139111912173</v>
      </c>
      <c r="H13" s="49">
        <f>'Balance Sheet'!H21/'Balance Sheet'!H$23</f>
        <v>0.16484621054747706</v>
      </c>
      <c r="I13" s="49">
        <f>'Balance Sheet'!I21/'Balance Sheet'!I$23</f>
        <v>0.22832392599560991</v>
      </c>
      <c r="J13" s="148">
        <f>'Balance Sheet'!J21/'Balance Sheet'!J$23</f>
        <v>8.4420630559282839E-2</v>
      </c>
      <c r="K13" s="148">
        <f>'Balance Sheet'!K21/'Balance Sheet'!K$23</f>
        <v>4.3153372657805368E-2</v>
      </c>
      <c r="L13" s="148">
        <f>'Balance Sheet'!L21/'Balance Sheet'!L$23</f>
        <v>7.6928266469333166E-3</v>
      </c>
      <c r="M13" s="153">
        <f>'Balance Sheet'!M21/'Balance Sheet'!M$23</f>
        <v>0.19029980336569294</v>
      </c>
      <c r="N13" s="153">
        <f>'Balance Sheet'!N21/'Balance Sheet'!N$23</f>
        <v>0.21272264877354177</v>
      </c>
      <c r="O13" s="153">
        <f>'Balance Sheet'!O21/'Balance Sheet'!O$23</f>
        <v>0.19565599285326121</v>
      </c>
    </row>
    <row r="14" spans="1:15" ht="15.75" thickTop="1" x14ac:dyDescent="0.25">
      <c r="A14" s="43" t="s">
        <v>56</v>
      </c>
      <c r="B14" s="40">
        <f>'Balance Sheet'!B23/'Balance Sheet'!B$23</f>
        <v>1</v>
      </c>
      <c r="C14" s="40">
        <f>'Balance Sheet'!C23/'Balance Sheet'!C$23</f>
        <v>1</v>
      </c>
      <c r="D14" s="40">
        <f>'Balance Sheet'!D23/'Balance Sheet'!D$23</f>
        <v>1</v>
      </c>
      <c r="E14" s="40">
        <f>'Balance Sheet'!E23/'Balance Sheet'!E$23</f>
        <v>1</v>
      </c>
      <c r="F14" s="40">
        <f>'Balance Sheet'!F23/'Balance Sheet'!F$23</f>
        <v>1</v>
      </c>
      <c r="G14" s="40">
        <f>'Balance Sheet'!G23/'Balance Sheet'!G$23</f>
        <v>1</v>
      </c>
      <c r="H14" s="40">
        <f>'Balance Sheet'!H23/'Balance Sheet'!H$23</f>
        <v>1</v>
      </c>
      <c r="I14" s="40">
        <f>'Balance Sheet'!I23/'Balance Sheet'!I$23</f>
        <v>1</v>
      </c>
      <c r="J14" s="33">
        <f>'Balance Sheet'!J23/'Balance Sheet'!J$23</f>
        <v>1</v>
      </c>
      <c r="K14" s="33">
        <f>'Balance Sheet'!K23/'Balance Sheet'!K$23</f>
        <v>1</v>
      </c>
      <c r="L14" s="33">
        <f>'Balance Sheet'!L23/'Balance Sheet'!L$23</f>
        <v>1</v>
      </c>
      <c r="M14" s="122">
        <f>'Balance Sheet'!M23/'Balance Sheet'!M$23</f>
        <v>1</v>
      </c>
      <c r="N14" s="122">
        <f>'Balance Sheet'!N23/'Balance Sheet'!N$23</f>
        <v>1</v>
      </c>
      <c r="O14" s="122">
        <f>'Balance Sheet'!O23/'Balance Sheet'!O$23</f>
        <v>1</v>
      </c>
    </row>
    <row r="15" spans="1:15" x14ac:dyDescent="0.25">
      <c r="A15" s="7"/>
      <c r="B15" s="48"/>
      <c r="C15" s="48"/>
      <c r="D15" s="48"/>
      <c r="E15" s="48"/>
      <c r="F15" s="48"/>
      <c r="G15" s="48"/>
      <c r="H15" s="48"/>
      <c r="I15" s="48"/>
      <c r="J15" s="146"/>
      <c r="K15" s="146"/>
      <c r="L15" s="146"/>
      <c r="M15" s="151"/>
      <c r="N15" s="151"/>
      <c r="O15" s="151"/>
    </row>
    <row r="16" spans="1:15" x14ac:dyDescent="0.25">
      <c r="A16" s="42" t="s">
        <v>143</v>
      </c>
      <c r="B16" s="48"/>
      <c r="C16" s="48"/>
      <c r="D16" s="48"/>
      <c r="E16" s="48"/>
      <c r="F16" s="48"/>
      <c r="G16" s="48"/>
      <c r="H16" s="48"/>
      <c r="I16" s="48"/>
      <c r="J16" s="146"/>
      <c r="K16" s="146"/>
      <c r="L16" s="146"/>
      <c r="M16" s="151"/>
      <c r="N16" s="151"/>
      <c r="O16" s="151"/>
    </row>
    <row r="17" spans="1:15" x14ac:dyDescent="0.25">
      <c r="A17" s="3" t="s">
        <v>144</v>
      </c>
      <c r="B17" s="48"/>
      <c r="C17" s="48"/>
      <c r="D17" s="48"/>
      <c r="E17" s="48"/>
      <c r="F17" s="48"/>
      <c r="G17" s="48"/>
      <c r="H17" s="48"/>
      <c r="I17" s="48"/>
      <c r="J17" s="146"/>
      <c r="K17" s="146"/>
      <c r="L17" s="146"/>
      <c r="M17" s="151"/>
      <c r="N17" s="151"/>
      <c r="O17" s="151"/>
    </row>
    <row r="18" spans="1:15" x14ac:dyDescent="0.25">
      <c r="A18" s="3" t="s">
        <v>145</v>
      </c>
      <c r="B18" s="48"/>
      <c r="C18" s="48"/>
      <c r="D18" s="48"/>
      <c r="E18" s="48"/>
      <c r="F18" s="48"/>
      <c r="G18" s="48"/>
      <c r="H18" s="48"/>
      <c r="I18" s="48"/>
      <c r="J18" s="146"/>
      <c r="K18" s="146"/>
      <c r="L18" s="146"/>
      <c r="M18" s="151"/>
      <c r="N18" s="151"/>
      <c r="O18" s="151"/>
    </row>
    <row r="19" spans="1:15" x14ac:dyDescent="0.25">
      <c r="A19" s="7" t="s">
        <v>146</v>
      </c>
      <c r="B19" s="48">
        <f>'Balance Sheet'!B26/'Balance Sheet'!B$41</f>
        <v>5.3421576412233239E-2</v>
      </c>
      <c r="C19" s="48">
        <f>'Balance Sheet'!C26/'Balance Sheet'!C$41</f>
        <v>5.4317636662037629E-2</v>
      </c>
      <c r="D19" s="48">
        <f>'Balance Sheet'!D26/'Balance Sheet'!D$41</f>
        <v>6.1018426250352704E-2</v>
      </c>
      <c r="E19" s="48">
        <f>'Balance Sheet'!E26/'Balance Sheet'!E$41</f>
        <v>8.2781121856240161E-2</v>
      </c>
      <c r="F19" s="48">
        <f>'Balance Sheet'!F26/'Balance Sheet'!F$41</f>
        <v>9.7050754458161859E-2</v>
      </c>
      <c r="G19" s="48">
        <f>'Balance Sheet'!G26/'Balance Sheet'!G$41</f>
        <v>0.14263476978535147</v>
      </c>
      <c r="H19" s="48">
        <f>'Balance Sheet'!H26/'Balance Sheet'!H$41</f>
        <v>0.50753869865308587</v>
      </c>
      <c r="I19" s="48">
        <f>'Balance Sheet'!I26/'Balance Sheet'!I$41</f>
        <v>7.1142991533396052E-2</v>
      </c>
      <c r="J19" s="146">
        <f>'Balance Sheet'!J26/'Balance Sheet'!J$41</f>
        <v>0.26233711204923027</v>
      </c>
      <c r="K19" s="146">
        <f>'Balance Sheet'!K26/'Balance Sheet'!K$41</f>
        <v>0.32744553812359273</v>
      </c>
      <c r="L19" s="146">
        <f>'Balance Sheet'!L26/'Balance Sheet'!L$41</f>
        <v>0.39285562448042888</v>
      </c>
      <c r="M19" s="151">
        <f>'Balance Sheet'!M26/'Balance Sheet'!M$41</f>
        <v>0.25683119884052841</v>
      </c>
      <c r="N19" s="151">
        <f>'Balance Sheet'!N26/'Balance Sheet'!N$41</f>
        <v>0.3198048824501018</v>
      </c>
      <c r="O19" s="151">
        <f>'Balance Sheet'!O26/'Balance Sheet'!O$41</f>
        <v>0.38288644571332342</v>
      </c>
    </row>
    <row r="20" spans="1:15" ht="15.75" thickBot="1" x14ac:dyDescent="0.3">
      <c r="A20" s="7" t="s">
        <v>147</v>
      </c>
      <c r="B20" s="50">
        <f>'Balance Sheet'!B27/'Balance Sheet'!B$41</f>
        <v>1.944892383787433E-3</v>
      </c>
      <c r="C20" s="50">
        <f>'Balance Sheet'!C27/'Balance Sheet'!C$41</f>
        <v>1.4167683653859642E-3</v>
      </c>
      <c r="D20" s="50">
        <f>'Balance Sheet'!D27/'Balance Sheet'!D$41</f>
        <v>3.1427132555423398E-2</v>
      </c>
      <c r="E20" s="50">
        <f>'Balance Sheet'!E27/'Balance Sheet'!E$41</f>
        <v>8.569566502183882E-3</v>
      </c>
      <c r="F20" s="50">
        <f>'Balance Sheet'!F27/'Balance Sheet'!F$41</f>
        <v>0.67725480109739367</v>
      </c>
      <c r="G20" s="50">
        <f>'Balance Sheet'!G27/'Balance Sheet'!G$41</f>
        <v>1.581189578895625E-2</v>
      </c>
      <c r="H20" s="50">
        <f>'Balance Sheet'!H27/'Balance Sheet'!H$41</f>
        <v>6.0979695771627689E-3</v>
      </c>
      <c r="I20" s="50">
        <f>'Balance Sheet'!I27/'Balance Sheet'!I$41</f>
        <v>2.8613985575415492E-3</v>
      </c>
      <c r="J20" s="147">
        <f>'Balance Sheet'!J27/'Balance Sheet'!J$41</f>
        <v>0.17908474324454199</v>
      </c>
      <c r="K20" s="147">
        <f>'Balance Sheet'!K27/'Balance Sheet'!K$41</f>
        <v>0.17340349391686063</v>
      </c>
      <c r="L20" s="147">
        <f>'Balance Sheet'!L27/'Balance Sheet'!L$41</f>
        <v>0.12291476464235791</v>
      </c>
      <c r="M20" s="152">
        <f>'Balance Sheet'!M27/'Balance Sheet'!M$41</f>
        <v>0.17532612500862091</v>
      </c>
      <c r="N20" s="152">
        <f>'Balance Sheet'!N27/'Balance Sheet'!N$41</f>
        <v>0.16935727481981214</v>
      </c>
      <c r="O20" s="152">
        <f>'Balance Sheet'!O27/'Balance Sheet'!O$41</f>
        <v>0.11979565628427609</v>
      </c>
    </row>
    <row r="21" spans="1:15" x14ac:dyDescent="0.25">
      <c r="A21" s="22" t="s">
        <v>76</v>
      </c>
      <c r="B21" s="40">
        <f>'Balance Sheet'!B28/'Balance Sheet'!B$32</f>
        <v>5.8807138000601895E-2</v>
      </c>
      <c r="C21" s="40">
        <f>'Balance Sheet'!C28/'Balance Sheet'!C$32</f>
        <v>5.8363860142304699E-2</v>
      </c>
      <c r="D21" s="40">
        <f>'Balance Sheet'!D28/'Balance Sheet'!D$32</f>
        <v>9.1363480728705204E-2</v>
      </c>
      <c r="E21" s="40">
        <f>'Balance Sheet'!E28/'Balance Sheet'!E$32</f>
        <v>9.5675312033734583E-2</v>
      </c>
      <c r="F21" s="40">
        <f>'Balance Sheet'!F28/'Balance Sheet'!F$32</f>
        <v>0.64349839686498045</v>
      </c>
      <c r="G21" s="40">
        <f>'Balance Sheet'!G28/'Balance Sheet'!G$32</f>
        <v>0.20214579364283566</v>
      </c>
      <c r="H21" s="40">
        <f>'Balance Sheet'!H28/'Balance Sheet'!H$32</f>
        <v>0.46763851923542221</v>
      </c>
      <c r="I21" s="40">
        <f>'Balance Sheet'!I28/'Balance Sheet'!I$32</f>
        <v>8.4983795462729564E-2</v>
      </c>
      <c r="J21" s="33">
        <f>'Balance Sheet'!J28/'Balance Sheet'!J$32</f>
        <v>0.45923265937946062</v>
      </c>
      <c r="K21" s="33">
        <f>'Balance Sheet'!K28/'Balance Sheet'!K$32</f>
        <v>0.5549530868937691</v>
      </c>
      <c r="L21" s="33">
        <f>'Balance Sheet'!L28/'Balance Sheet'!L$32</f>
        <v>0.63501225888452684</v>
      </c>
      <c r="M21" s="122">
        <f>'Balance Sheet'!M28/'Balance Sheet'!M$32</f>
        <v>0.45923265937946062</v>
      </c>
      <c r="N21" s="122">
        <f>'Balance Sheet'!N28/'Balance Sheet'!N$32</f>
        <v>0.5549530868937691</v>
      </c>
      <c r="O21" s="122">
        <f>'Balance Sheet'!O28/'Balance Sheet'!O$32</f>
        <v>0.63501225888452684</v>
      </c>
    </row>
    <row r="22" spans="1:15" x14ac:dyDescent="0.25">
      <c r="A22" s="7" t="s">
        <v>148</v>
      </c>
      <c r="B22" s="48">
        <f>'Balance Sheet'!B29/'Balance Sheet'!B$41</f>
        <v>0.65711827114458321</v>
      </c>
      <c r="C22" s="48">
        <f>'Balance Sheet'!C29/'Balance Sheet'!C$41</f>
        <v>0.69293649791692968</v>
      </c>
      <c r="D22" s="48">
        <f>'Balance Sheet'!D29/'Balance Sheet'!D$41</f>
        <v>0.73334261967776382</v>
      </c>
      <c r="E22" s="48">
        <f>'Balance Sheet'!E29/'Balance Sheet'!E$41</f>
        <v>0.84675574913879292</v>
      </c>
      <c r="F22" s="48">
        <f>'Balance Sheet'!F29/'Balance Sheet'!F$41</f>
        <v>0.30992798353909468</v>
      </c>
      <c r="G22" s="48">
        <f>'Balance Sheet'!G29/'Balance Sheet'!G$41</f>
        <v>0.55521874487956746</v>
      </c>
      <c r="H22" s="48">
        <f>'Balance Sheet'!H29/'Balance Sheet'!H$41</f>
        <v>0.45225490853045636</v>
      </c>
      <c r="I22" s="48">
        <f>'Balance Sheet'!I29/'Balance Sheet'!I$41</f>
        <v>0.71644716211978676</v>
      </c>
      <c r="J22" s="146">
        <f>'Balance Sheet'!J29/'Balance Sheet'!J$41</f>
        <v>0.50782980977341718</v>
      </c>
      <c r="K22" s="146">
        <f>'Balance Sheet'!K29/'Balance Sheet'!K$41</f>
        <v>0.4347830650035055</v>
      </c>
      <c r="L22" s="146">
        <f>'Balance Sheet'!L29/'Balance Sheet'!L$41</f>
        <v>0.36959170317574891</v>
      </c>
      <c r="M22" s="151">
        <f>'Balance Sheet'!M29/'Balance Sheet'!M$41</f>
        <v>0.73192944640556523</v>
      </c>
      <c r="N22" s="151">
        <f>'Balance Sheet'!N29/'Balance Sheet'!N$41</f>
        <v>0.6856388002683983</v>
      </c>
      <c r="O22" s="151">
        <f>'Balance Sheet'!O29/'Balance Sheet'!O$41</f>
        <v>0.64405513584932628</v>
      </c>
    </row>
    <row r="23" spans="1:15" ht="15.75" thickBot="1" x14ac:dyDescent="0.3">
      <c r="A23" s="7" t="s">
        <v>149</v>
      </c>
      <c r="B23" s="50">
        <f>'Balance Sheet'!B30/'Balance Sheet'!B$41</f>
        <v>0.22900758018308576</v>
      </c>
      <c r="C23" s="50">
        <f>'Balance Sheet'!C30/'Balance Sheet'!C$41</f>
        <v>0.21391448891133275</v>
      </c>
      <c r="D23" s="50">
        <f>'Balance Sheet'!D30/'Balance Sheet'!D$41</f>
        <v>0.1860554823363014</v>
      </c>
      <c r="E23" s="50">
        <f>'Balance Sheet'!E30/'Balance Sheet'!E$41</f>
        <v>0.12726838489780884</v>
      </c>
      <c r="F23" s="50">
        <f>'Balance Sheet'!F30/'Balance Sheet'!F$41</f>
        <v>0.1190414951989026</v>
      </c>
      <c r="G23" s="50">
        <f>'Balance Sheet'!G30/'Balance Sheet'!G$41</f>
        <v>9.6673766999836153E-2</v>
      </c>
      <c r="H23" s="50">
        <f>'Balance Sheet'!H30/'Balance Sheet'!H$41</f>
        <v>0.13750586343228574</v>
      </c>
      <c r="I23" s="50">
        <f>'Balance Sheet'!I30/'Balance Sheet'!I$41</f>
        <v>8.0354343054248975E-2</v>
      </c>
      <c r="J23" s="147">
        <f>'Balance Sheet'!J30/'Balance Sheet'!J$41</f>
        <v>0.12604379958772072</v>
      </c>
      <c r="K23" s="147">
        <f>'Balance Sheet'!K30/'Balance Sheet'!K$41</f>
        <v>0.14047060182024826</v>
      </c>
      <c r="L23" s="147">
        <f>'Balance Sheet'!L30/'Balance Sheet'!L$41</f>
        <v>0.15308382166023438</v>
      </c>
      <c r="M23" s="152">
        <f>'Balance Sheet'!M30/'Balance Sheet'!M$41</f>
        <v>0.12339840101790353</v>
      </c>
      <c r="N23" s="152">
        <f>'Balance Sheet'!N30/'Balance Sheet'!N$41</f>
        <v>0.13719284299993581</v>
      </c>
      <c r="O23" s="152">
        <f>'Balance Sheet'!O30/'Balance Sheet'!O$41</f>
        <v>0.14919913759467993</v>
      </c>
    </row>
    <row r="24" spans="1:15" x14ac:dyDescent="0.25">
      <c r="A24" s="43" t="s">
        <v>80</v>
      </c>
      <c r="B24" s="40">
        <f>'Balance Sheet'!B32/'Balance Sheet'!B$41</f>
        <v>0.94149232012368955</v>
      </c>
      <c r="C24" s="40">
        <f>'Balance Sheet'!C32/'Balance Sheet'!C$41</f>
        <v>0.96305881692827777</v>
      </c>
      <c r="D24" s="40">
        <f>'Balance Sheet'!D32/'Balance Sheet'!D$41</f>
        <v>1.0118436608198413</v>
      </c>
      <c r="E24" s="40">
        <f>'Balance Sheet'!E32/'Balance Sheet'!E$41</f>
        <v>1.0770734748236095</v>
      </c>
      <c r="F24" s="40">
        <f>'Balance Sheet'!F32/'Balance Sheet'!F$41</f>
        <v>1.2032750342935528</v>
      </c>
      <c r="G24" s="40">
        <f>'Balance Sheet'!G32/'Balance Sheet'!G$41</f>
        <v>0.81705718499098801</v>
      </c>
      <c r="H24" s="40">
        <f>'Balance Sheet'!H32/'Balance Sheet'!H$41</f>
        <v>1.107820143402801</v>
      </c>
      <c r="I24" s="40">
        <f>'Balance Sheet'!I32/'Balance Sheet'!I$41</f>
        <v>0.87080589526497332</v>
      </c>
      <c r="J24" s="33">
        <f>'Balance Sheet'!J32/'Balance Sheet'!J$41</f>
        <v>0.96121616413398114</v>
      </c>
      <c r="K24" s="33">
        <f>'Balance Sheet'!K32/'Balance Sheet'!K$41</f>
        <v>0.90250697557850956</v>
      </c>
      <c r="L24" s="33">
        <f>'Balance Sheet'!L32/'Balance Sheet'!L$41</f>
        <v>0.81222115306686793</v>
      </c>
      <c r="M24" s="122">
        <f>'Balance Sheet'!M32/'Balance Sheet'!M$41</f>
        <v>0.94104222559672279</v>
      </c>
      <c r="N24" s="122">
        <f>'Balance Sheet'!N32/'Balance Sheet'!N$41</f>
        <v>0.88144776346392495</v>
      </c>
      <c r="O24" s="122">
        <f>'Balance Sheet'!O32/'Balance Sheet'!O$41</f>
        <v>0.79161007518283089</v>
      </c>
    </row>
    <row r="25" spans="1:15" x14ac:dyDescent="0.25">
      <c r="A25" s="42" t="s">
        <v>150</v>
      </c>
      <c r="B25" s="48"/>
      <c r="C25" s="48"/>
      <c r="D25" s="48"/>
      <c r="E25" s="48"/>
      <c r="F25" s="48"/>
      <c r="G25" s="48"/>
      <c r="H25" s="48"/>
      <c r="I25" s="48"/>
      <c r="J25" s="146"/>
      <c r="K25" s="146"/>
      <c r="L25" s="146"/>
      <c r="M25" s="151"/>
      <c r="N25" s="151"/>
      <c r="O25" s="151"/>
    </row>
    <row r="26" spans="1:15" x14ac:dyDescent="0.25">
      <c r="A26" s="7" t="s">
        <v>151</v>
      </c>
      <c r="B26" s="48">
        <f>'Balance Sheet'!B37/'Balance Sheet'!B$41</f>
        <v>-0.17859429055153089</v>
      </c>
      <c r="C26" s="48">
        <f>'Balance Sheet'!C37/'Balance Sheet'!C$41</f>
        <v>-0.20279075313161918</v>
      </c>
      <c r="D26" s="48">
        <f>'Balance Sheet'!D37/'Balance Sheet'!D$41</f>
        <v>-0.26332143966912036</v>
      </c>
      <c r="E26" s="48">
        <f>'Balance Sheet'!E37/'Balance Sheet'!E$41</f>
        <v>-0.41779166683533236</v>
      </c>
      <c r="F26" s="48">
        <f>'Balance Sheet'!F37/'Balance Sheet'!F$41</f>
        <v>-0.56172839506172845</v>
      </c>
      <c r="G26" s="48">
        <f>'Balance Sheet'!G37/'Balance Sheet'!G$41</f>
        <v>-0.58856300180239229</v>
      </c>
      <c r="H26" s="48">
        <f>'Balance Sheet'!H37/'Balance Sheet'!H$41</f>
        <v>-0.69081283924143944</v>
      </c>
      <c r="I26" s="48">
        <f>'Balance Sheet'!I37/'Balance Sheet'!I$41</f>
        <v>-0.4187833176544371</v>
      </c>
      <c r="J26" s="146">
        <f>'Balance Sheet'!J37/'Balance Sheet'!J$41</f>
        <v>-0.74740569533752099</v>
      </c>
      <c r="K26" s="146">
        <f>'Balance Sheet'!K37/'Balance Sheet'!K$41</f>
        <v>-0.86146496525556748</v>
      </c>
      <c r="L26" s="146">
        <f>'Balance Sheet'!L37/'Balance Sheet'!L$41</f>
        <v>-0.94707569380858014</v>
      </c>
      <c r="M26" s="151">
        <f>'Balance Sheet'!M37/'Balance Sheet'!M$41</f>
        <v>-0.71073126515962759</v>
      </c>
      <c r="N26" s="151">
        <f>'Balance Sheet'!N37/'Balance Sheet'!N$41</f>
        <v>-0.81802930591115408</v>
      </c>
      <c r="O26" s="151">
        <f>'Balance Sheet'!O37/'Balance Sheet'!O$41</f>
        <v>-0.89766633206064717</v>
      </c>
    </row>
    <row r="27" spans="1:15" x14ac:dyDescent="0.25">
      <c r="A27" s="7" t="s">
        <v>152</v>
      </c>
      <c r="B27" s="48">
        <f>'Balance Sheet'!B36/'Balance Sheet'!B$41</f>
        <v>0</v>
      </c>
      <c r="C27" s="48">
        <f>'Balance Sheet'!C36/'Balance Sheet'!C$41</f>
        <v>0</v>
      </c>
      <c r="D27" s="48">
        <f>'Balance Sheet'!D36/'Balance Sheet'!D$41</f>
        <v>5.8218236237458964E-4</v>
      </c>
      <c r="E27" s="48">
        <f>'Balance Sheet'!E36/'Balance Sheet'!E$41</f>
        <v>6.4767625902192785E-4</v>
      </c>
      <c r="F27" s="48">
        <f>'Balance Sheet'!F36/'Balance Sheet'!F$41</f>
        <v>8.1447187928669412E-4</v>
      </c>
      <c r="G27" s="48">
        <f>'Balance Sheet'!G36/'Balance Sheet'!G$41</f>
        <v>1.7204653449123383E-3</v>
      </c>
      <c r="H27" s="48">
        <f>'Balance Sheet'!H36/'Balance Sheet'!H$41</f>
        <v>1.9433089861287944E-3</v>
      </c>
      <c r="I27" s="48">
        <f>'Balance Sheet'!I36/'Balance Sheet'!I$41</f>
        <v>5.9579805581687047E-3</v>
      </c>
      <c r="J27" s="146">
        <f>'Balance Sheet'!J36/'Balance Sheet'!J$41</f>
        <v>5.9853237724083446E-3</v>
      </c>
      <c r="K27" s="146">
        <f>'Balance Sheet'!K36/'Balance Sheet'!K$41</f>
        <v>8.1459489329089307E-3</v>
      </c>
      <c r="L27" s="146">
        <f>'Balance Sheet'!L36/'Balance Sheet'!L$41</f>
        <v>1.0510606418855579E-2</v>
      </c>
      <c r="M27" s="151">
        <f>'Balance Sheet'!M36/'Balance Sheet'!M$41</f>
        <v>5.8597042100085109E-3</v>
      </c>
      <c r="N27" s="151">
        <f>'Balance Sheet'!N36/'Balance Sheet'!N$41</f>
        <v>7.9558703284275181E-3</v>
      </c>
      <c r="O27" s="151">
        <f>'Balance Sheet'!O36/'Balance Sheet'!O$41</f>
        <v>1.0243887278767317E-2</v>
      </c>
    </row>
    <row r="28" spans="1:15" ht="15.75" thickBot="1" x14ac:dyDescent="0.3">
      <c r="A28" s="7" t="s">
        <v>153</v>
      </c>
      <c r="B28" s="50">
        <f>'Balance Sheet'!B38/'Balance Sheet'!B$41</f>
        <v>-5.9046373090524953E-3</v>
      </c>
      <c r="C28" s="50">
        <f>'Balance Sheet'!C38/'Balance Sheet'!C$41</f>
        <v>-3.3806057035447269E-3</v>
      </c>
      <c r="D28" s="50">
        <f>'Balance Sheet'!D38/'Balance Sheet'!D$41</f>
        <v>7.6433758005007473E-4</v>
      </c>
      <c r="E28" s="50">
        <f>'Balance Sheet'!E38/'Balance Sheet'!E$41</f>
        <v>-6.8815602521079839E-4</v>
      </c>
      <c r="F28" s="50">
        <f>'Balance Sheet'!F38/'Balance Sheet'!F$41</f>
        <v>-6.4300411522633745E-4</v>
      </c>
      <c r="G28" s="50">
        <f>'Balance Sheet'!G38/'Balance Sheet'!G$41</f>
        <v>8.1926921186301814E-5</v>
      </c>
      <c r="H28" s="50">
        <f>'Balance Sheet'!H38/'Balance Sheet'!H$41</f>
        <v>-6.7010654694096364E-5</v>
      </c>
      <c r="I28" s="50">
        <f>'Balance Sheet'!I38/'Balance Sheet'!I$41</f>
        <v>2.3518344308560678E-4</v>
      </c>
      <c r="J28" s="147">
        <f>'Balance Sheet'!J38/'Balance Sheet'!J$41</f>
        <v>3.3329142685412957E-3</v>
      </c>
      <c r="K28" s="147">
        <f>'Balance Sheet'!K38/'Balance Sheet'!K$41</f>
        <v>3.4214625157648107E-3</v>
      </c>
      <c r="L28" s="147">
        <f>'Balance Sheet'!L38/'Balance Sheet'!L$41</f>
        <v>3.3964568067562143E-3</v>
      </c>
      <c r="M28" s="152">
        <f>'Balance Sheet'!M38/'Balance Sheet'!M$41</f>
        <v>3.2629632938153534E-3</v>
      </c>
      <c r="N28" s="152">
        <f>'Balance Sheet'!N38/'Balance Sheet'!N$41</f>
        <v>3.3416256759271961E-3</v>
      </c>
      <c r="O28" s="152">
        <f>'Balance Sheet'!O38/'Balance Sheet'!O$41</f>
        <v>3.310267675249987E-3</v>
      </c>
    </row>
    <row r="29" spans="1:15" ht="15.75" thickBot="1" x14ac:dyDescent="0.3">
      <c r="A29" s="22" t="s">
        <v>154</v>
      </c>
      <c r="B29" s="51">
        <f>'Balance Sheet'!B40/'Balance Sheet'!B$41</f>
        <v>5.8507679876310455E-2</v>
      </c>
      <c r="C29" s="51">
        <f>'Balance Sheet'!C40/'Balance Sheet'!C$41</f>
        <v>3.6941183071722145E-2</v>
      </c>
      <c r="D29" s="51">
        <f>'Balance Sheet'!D40/'Balance Sheet'!D$41</f>
        <v>-1.1843660819841338E-2</v>
      </c>
      <c r="E29" s="51">
        <f>'Balance Sheet'!E40/'Balance Sheet'!E$41</f>
        <v>-7.707347482360942E-2</v>
      </c>
      <c r="F29" s="51">
        <f>'Balance Sheet'!F40/'Balance Sheet'!F$41</f>
        <v>-0.20327503429355281</v>
      </c>
      <c r="G29" s="51">
        <f>'Balance Sheet'!G40/'Balance Sheet'!G$41</f>
        <v>0.18294281500901197</v>
      </c>
      <c r="H29" s="51">
        <f>'Balance Sheet'!H40/'Balance Sheet'!H$41</f>
        <v>-0.10782014340280105</v>
      </c>
      <c r="I29" s="51">
        <f>'Balance Sheet'!I40/'Balance Sheet'!I$41</f>
        <v>0.12919410473502665</v>
      </c>
      <c r="J29" s="149">
        <f>'Balance Sheet'!J40/'Balance Sheet'!J$41</f>
        <v>3.8783835866018884E-2</v>
      </c>
      <c r="K29" s="149">
        <f>'Balance Sheet'!K40/'Balance Sheet'!K$41</f>
        <v>9.7493024421490382E-2</v>
      </c>
      <c r="L29" s="149">
        <f>'Balance Sheet'!L40/'Balance Sheet'!L$41</f>
        <v>0.18777884693313207</v>
      </c>
      <c r="M29" s="154">
        <f>'Balance Sheet'!M40/'Balance Sheet'!M$41</f>
        <v>5.8957774403277138E-2</v>
      </c>
      <c r="N29" s="154">
        <f>'Balance Sheet'!N40/'Balance Sheet'!N$41</f>
        <v>0.11855223653607502</v>
      </c>
      <c r="O29" s="154">
        <f>'Balance Sheet'!O40/'Balance Sheet'!O$41</f>
        <v>0.20838992481716914</v>
      </c>
    </row>
    <row r="30" spans="1:15" ht="15.75" thickTop="1" x14ac:dyDescent="0.25">
      <c r="A30" s="43" t="s">
        <v>155</v>
      </c>
      <c r="B30" s="40">
        <f>'Balance Sheet'!B41/'Balance Sheet'!B$41</f>
        <v>1</v>
      </c>
      <c r="C30" s="40">
        <f>'Balance Sheet'!C41/'Balance Sheet'!C$41</f>
        <v>1</v>
      </c>
      <c r="D30" s="40">
        <f>'Balance Sheet'!D41/'Balance Sheet'!D$41</f>
        <v>1</v>
      </c>
      <c r="E30" s="40">
        <f>'Balance Sheet'!E41/'Balance Sheet'!E$41</f>
        <v>1</v>
      </c>
      <c r="F30" s="40">
        <f>'Balance Sheet'!F41/'Balance Sheet'!F$41</f>
        <v>1</v>
      </c>
      <c r="G30" s="40">
        <f>'Balance Sheet'!G41/'Balance Sheet'!G$41</f>
        <v>1</v>
      </c>
      <c r="H30" s="40">
        <f>'Balance Sheet'!H41/'Balance Sheet'!H$41</f>
        <v>1</v>
      </c>
      <c r="I30" s="40">
        <f>'Balance Sheet'!I41/'Balance Sheet'!I$41</f>
        <v>1</v>
      </c>
      <c r="J30" s="33">
        <f>'Balance Sheet'!J41/'Balance Sheet'!J$41</f>
        <v>1</v>
      </c>
      <c r="K30" s="33">
        <f>'Balance Sheet'!K41/'Balance Sheet'!K$41</f>
        <v>1</v>
      </c>
      <c r="L30" s="33">
        <f>'Balance Sheet'!L41/'Balance Sheet'!L$41</f>
        <v>1</v>
      </c>
      <c r="M30" s="122">
        <f>'Balance Sheet'!M41/'Balance Sheet'!M$41</f>
        <v>1</v>
      </c>
      <c r="N30" s="122">
        <f>'Balance Sheet'!N41/'Balance Sheet'!N$41</f>
        <v>1</v>
      </c>
      <c r="O30" s="122">
        <f>'Balance Sheet'!O41/'Balance Sheet'!O$41</f>
        <v>1</v>
      </c>
    </row>
  </sheetData>
  <mergeCells count="3">
    <mergeCell ref="B3:I3"/>
    <mergeCell ref="J3:L3"/>
    <mergeCell ref="M3:O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0C58-04BA-4F97-BE0C-4B929A945846}">
  <dimension ref="B2:K16"/>
  <sheetViews>
    <sheetView workbookViewId="0">
      <selection activeCell="F13" sqref="F13"/>
    </sheetView>
  </sheetViews>
  <sheetFormatPr defaultRowHeight="15" x14ac:dyDescent="0.25"/>
  <cols>
    <col min="1" max="1" width="11.85546875" bestFit="1" customWidth="1"/>
    <col min="2" max="2" width="12.28515625" bestFit="1" customWidth="1"/>
    <col min="3" max="3" width="8.28515625" bestFit="1" customWidth="1"/>
    <col min="4" max="4" width="13.28515625" bestFit="1" customWidth="1"/>
    <col min="5" max="5" width="20" bestFit="1" customWidth="1"/>
    <col min="6" max="6" width="14.5703125" bestFit="1" customWidth="1"/>
    <col min="7" max="7" width="19.7109375" bestFit="1" customWidth="1"/>
    <col min="8" max="8" width="11.28515625" bestFit="1" customWidth="1"/>
    <col min="9" max="9" width="9.85546875" bestFit="1" customWidth="1"/>
  </cols>
  <sheetData>
    <row r="2" spans="2:11" ht="16.5" thickBot="1" x14ac:dyDescent="0.3">
      <c r="B2" s="99" t="s">
        <v>344</v>
      </c>
      <c r="C2" s="99" t="s">
        <v>345</v>
      </c>
      <c r="D2" s="99" t="s">
        <v>346</v>
      </c>
      <c r="E2" s="99" t="s">
        <v>347</v>
      </c>
      <c r="F2" s="99" t="s">
        <v>348</v>
      </c>
      <c r="G2" s="100" t="s">
        <v>349</v>
      </c>
      <c r="H2" s="101" t="s">
        <v>350</v>
      </c>
      <c r="I2" s="101" t="s">
        <v>351</v>
      </c>
      <c r="J2" s="55"/>
      <c r="K2" s="55"/>
    </row>
    <row r="3" spans="2:11" x14ac:dyDescent="0.25">
      <c r="B3" s="55" t="s">
        <v>352</v>
      </c>
      <c r="C3" s="102">
        <f>-PV(C13/2,C11*2,(C10*(C9/2)),1000)</f>
        <v>437.95713389443841</v>
      </c>
      <c r="D3" s="103">
        <f>E3/C3</f>
        <v>8904981.1001366712</v>
      </c>
      <c r="E3" s="104">
        <v>3900000000</v>
      </c>
      <c r="F3" s="52">
        <f>RATE(C11,(-C10*C9)*(1-C8),C3*(1-C12),-C10)</f>
        <v>7.2122556731427076E-2</v>
      </c>
      <c r="G3" s="52">
        <f>RATE(C11,-C10*C9,C3,-C10)</f>
        <v>7.1225000001094871E-2</v>
      </c>
      <c r="H3" s="52">
        <f>RATE(C11,(-C10*C9),C3*(1-C12),-C10)</f>
        <v>7.2122556731427076E-2</v>
      </c>
      <c r="I3" s="52">
        <f>RATE(C11,(-C10*C9)*(1-C8),C3*(1-C12),-C10)</f>
        <v>7.2122556731427076E-2</v>
      </c>
      <c r="J3" s="76"/>
      <c r="K3" s="55"/>
    </row>
    <row r="4" spans="2:11" x14ac:dyDescent="0.25">
      <c r="B4" s="2"/>
      <c r="C4" s="105"/>
      <c r="D4" s="105"/>
      <c r="E4" s="105"/>
      <c r="F4" s="105"/>
      <c r="G4" s="105"/>
      <c r="H4" s="105"/>
      <c r="I4" s="105"/>
      <c r="J4" s="105"/>
      <c r="K4" s="55"/>
    </row>
    <row r="5" spans="2:11" x14ac:dyDescent="0.25">
      <c r="B5" s="2"/>
      <c r="C5" s="2"/>
      <c r="D5" s="2"/>
      <c r="E5" s="2"/>
      <c r="F5" s="2"/>
      <c r="G5" s="2"/>
      <c r="H5" s="55"/>
      <c r="I5" s="55"/>
      <c r="J5" s="55"/>
      <c r="K5" s="55"/>
    </row>
    <row r="6" spans="2:1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.75" x14ac:dyDescent="0.25">
      <c r="B7" s="114" t="s">
        <v>353</v>
      </c>
      <c r="C7" s="114"/>
      <c r="D7" s="101"/>
      <c r="E7" s="114"/>
      <c r="F7" s="114"/>
      <c r="G7" s="55"/>
      <c r="H7" s="55"/>
      <c r="I7" s="55"/>
      <c r="J7" s="55"/>
      <c r="K7" s="55"/>
    </row>
    <row r="8" spans="2:11" x14ac:dyDescent="0.25">
      <c r="B8" s="55" t="s">
        <v>134</v>
      </c>
      <c r="C8" s="106">
        <v>0.35</v>
      </c>
      <c r="D8" s="55"/>
      <c r="E8" s="55"/>
      <c r="F8" s="107"/>
      <c r="G8" s="55"/>
      <c r="H8" s="55"/>
      <c r="I8" s="55"/>
      <c r="J8" s="55"/>
      <c r="K8" s="55"/>
    </row>
    <row r="9" spans="2:11" x14ac:dyDescent="0.25">
      <c r="B9" s="55" t="s">
        <v>354</v>
      </c>
      <c r="C9" s="106">
        <v>0</v>
      </c>
      <c r="D9" s="55"/>
      <c r="E9" s="55"/>
      <c r="F9" s="107"/>
      <c r="G9" s="55"/>
      <c r="H9" s="55"/>
      <c r="I9" s="55"/>
      <c r="J9" s="55"/>
      <c r="K9" s="55"/>
    </row>
    <row r="10" spans="2:11" x14ac:dyDescent="0.25">
      <c r="B10" s="55" t="s">
        <v>355</v>
      </c>
      <c r="C10" s="108">
        <v>1000</v>
      </c>
      <c r="D10" s="55"/>
      <c r="E10" s="55"/>
      <c r="F10" s="107"/>
      <c r="G10" s="55"/>
      <c r="H10" s="55"/>
      <c r="I10" s="55"/>
      <c r="J10" s="55"/>
      <c r="K10" s="55"/>
    </row>
    <row r="11" spans="2:11" x14ac:dyDescent="0.25">
      <c r="B11" s="55" t="s">
        <v>356</v>
      </c>
      <c r="C11" s="109">
        <v>12</v>
      </c>
      <c r="D11" s="55"/>
      <c r="E11" s="55"/>
      <c r="F11" s="55"/>
      <c r="G11" s="55"/>
      <c r="H11" s="55"/>
      <c r="I11" s="55"/>
      <c r="J11" s="55"/>
      <c r="K11" s="55"/>
    </row>
    <row r="12" spans="2:11" x14ac:dyDescent="0.25">
      <c r="B12" s="55" t="s">
        <v>357</v>
      </c>
      <c r="C12" s="106">
        <v>0.01</v>
      </c>
      <c r="D12" s="55"/>
      <c r="E12" s="55"/>
      <c r="F12" s="55"/>
      <c r="G12" s="55"/>
      <c r="H12" s="55"/>
      <c r="I12" s="55"/>
      <c r="J12" s="55"/>
      <c r="K12" s="55"/>
    </row>
    <row r="13" spans="2:11" x14ac:dyDescent="0.25">
      <c r="B13" s="55" t="s">
        <v>358</v>
      </c>
      <c r="C13" s="110">
        <v>7.0000000000000007E-2</v>
      </c>
      <c r="D13" s="55"/>
      <c r="E13" s="55"/>
      <c r="F13" s="55"/>
      <c r="G13" s="55"/>
      <c r="H13" s="55"/>
      <c r="I13" s="55"/>
      <c r="J13" s="55"/>
      <c r="K13" s="55"/>
    </row>
    <row r="14" spans="2:11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2:11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2:11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</row>
  </sheetData>
  <mergeCells count="2">
    <mergeCell ref="B7:C7"/>
    <mergeCell ref="E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91"/>
  <sheetViews>
    <sheetView zoomScale="93" zoomScaleNormal="83" workbookViewId="0">
      <selection activeCell="D15" sqref="D15"/>
    </sheetView>
  </sheetViews>
  <sheetFormatPr defaultRowHeight="15" x14ac:dyDescent="0.25"/>
  <cols>
    <col min="1" max="1" width="9.140625" style="53"/>
    <col min="2" max="2" width="35.140625" style="53" bestFit="1" customWidth="1"/>
    <col min="3" max="3" width="21.140625" style="53" bestFit="1" customWidth="1"/>
    <col min="4" max="4" width="19" style="53" bestFit="1" customWidth="1"/>
    <col min="5" max="5" width="29.42578125" style="53" bestFit="1" customWidth="1"/>
    <col min="6" max="6" width="15.7109375" style="53" bestFit="1" customWidth="1"/>
    <col min="7" max="7" width="12.42578125" style="53" customWidth="1"/>
    <col min="8" max="8" width="11.5703125" style="53" bestFit="1" customWidth="1"/>
    <col min="9" max="9" width="9.140625" style="53"/>
    <col min="10" max="10" width="12.7109375" style="53" bestFit="1" customWidth="1"/>
    <col min="11" max="16384" width="9.140625" style="53"/>
  </cols>
  <sheetData>
    <row r="3" spans="2:8" x14ac:dyDescent="0.25">
      <c r="B3" s="53" t="s">
        <v>201</v>
      </c>
    </row>
    <row r="4" spans="2:8" x14ac:dyDescent="0.25">
      <c r="B4" s="53" t="s">
        <v>202</v>
      </c>
      <c r="C4" s="18">
        <v>60219.565217391304</v>
      </c>
      <c r="F4" s="18"/>
      <c r="H4" s="18"/>
    </row>
    <row r="5" spans="2:8" x14ac:dyDescent="0.25">
      <c r="B5" s="53" t="s">
        <v>203</v>
      </c>
      <c r="C5" s="18">
        <v>1017.8260869565217</v>
      </c>
      <c r="F5" s="18"/>
      <c r="H5" s="53">
        <f>F5/C7</f>
        <v>0</v>
      </c>
    </row>
    <row r="6" spans="2:8" x14ac:dyDescent="0.25">
      <c r="B6" s="53" t="s">
        <v>204</v>
      </c>
      <c r="C6" s="18">
        <v>72</v>
      </c>
      <c r="F6" s="18"/>
      <c r="H6" s="67"/>
    </row>
    <row r="7" spans="2:8" x14ac:dyDescent="0.25">
      <c r="B7" s="53" t="s">
        <v>205</v>
      </c>
      <c r="C7" s="18">
        <v>1179.6774193548388</v>
      </c>
      <c r="F7" s="18"/>
      <c r="H7" s="18"/>
    </row>
    <row r="8" spans="2:8" x14ac:dyDescent="0.25">
      <c r="C8" s="18"/>
      <c r="F8" s="18"/>
    </row>
    <row r="9" spans="2:8" x14ac:dyDescent="0.25">
      <c r="B9" s="53" t="s">
        <v>206</v>
      </c>
      <c r="C9" s="53" t="s">
        <v>318</v>
      </c>
      <c r="D9" s="53" t="s">
        <v>317</v>
      </c>
      <c r="F9" s="18"/>
    </row>
    <row r="10" spans="2:8" x14ac:dyDescent="0.25">
      <c r="B10" s="53" t="s">
        <v>116</v>
      </c>
      <c r="C10" s="44">
        <v>11109964417</v>
      </c>
      <c r="D10" s="76">
        <f>C10/272</f>
        <v>40845457.415441178</v>
      </c>
    </row>
    <row r="11" spans="2:8" x14ac:dyDescent="0.25">
      <c r="B11" s="53" t="s">
        <v>306</v>
      </c>
      <c r="C11" s="44">
        <v>6165784751</v>
      </c>
      <c r="D11" s="76">
        <f t="shared" ref="D11:D14" si="0">C11/272</f>
        <v>22668326.290441178</v>
      </c>
    </row>
    <row r="12" spans="2:8" x14ac:dyDescent="0.25">
      <c r="B12" s="53" t="s">
        <v>307</v>
      </c>
      <c r="C12" s="44">
        <v>3890157739</v>
      </c>
      <c r="D12" s="76">
        <f t="shared" si="0"/>
        <v>14302050.511029411</v>
      </c>
    </row>
    <row r="13" spans="2:8" x14ac:dyDescent="0.25">
      <c r="B13" s="53" t="s">
        <v>308</v>
      </c>
      <c r="C13" s="44">
        <v>1804476733</v>
      </c>
      <c r="D13" s="76">
        <f t="shared" si="0"/>
        <v>6634105.636029412</v>
      </c>
    </row>
    <row r="14" spans="2:8" x14ac:dyDescent="0.25">
      <c r="B14" s="53" t="s">
        <v>309</v>
      </c>
      <c r="C14" s="44">
        <v>3204316632</v>
      </c>
      <c r="D14" s="76">
        <f t="shared" si="0"/>
        <v>11780575.852941176</v>
      </c>
    </row>
    <row r="15" spans="2:8" x14ac:dyDescent="0.25">
      <c r="B15" s="53" t="s">
        <v>310</v>
      </c>
      <c r="C15" s="44">
        <f>SUM(C10:C14)</f>
        <v>26174700272</v>
      </c>
      <c r="D15" s="76">
        <f>C15/272</f>
        <v>96230515.705882356</v>
      </c>
    </row>
    <row r="16" spans="2:8" x14ac:dyDescent="0.25">
      <c r="C16" s="44"/>
      <c r="D16" s="76"/>
    </row>
    <row r="17" spans="2:10" x14ac:dyDescent="0.25">
      <c r="B17" s="53" t="s">
        <v>319</v>
      </c>
      <c r="C17" s="23">
        <v>0.85</v>
      </c>
      <c r="D17" s="76"/>
    </row>
    <row r="18" spans="2:10" x14ac:dyDescent="0.25">
      <c r="B18" s="53" t="s">
        <v>305</v>
      </c>
      <c r="C18" s="44">
        <v>140.15</v>
      </c>
      <c r="D18" s="76"/>
    </row>
    <row r="20" spans="2:10" x14ac:dyDescent="0.25">
      <c r="B20" s="53" t="s">
        <v>311</v>
      </c>
      <c r="C20" s="44">
        <f>(365*C17)*C18</f>
        <v>43481.537499999999</v>
      </c>
    </row>
    <row r="21" spans="2:10" x14ac:dyDescent="0.25">
      <c r="B21" s="53" t="s">
        <v>312</v>
      </c>
      <c r="C21" s="76">
        <v>1294</v>
      </c>
    </row>
    <row r="24" spans="2:10" x14ac:dyDescent="0.25">
      <c r="C24" s="18"/>
    </row>
    <row r="25" spans="2:10" x14ac:dyDescent="0.25">
      <c r="C25" s="18"/>
    </row>
    <row r="26" spans="2:10" x14ac:dyDescent="0.25">
      <c r="B26" s="53" t="s">
        <v>207</v>
      </c>
      <c r="C26" s="116" t="s">
        <v>208</v>
      </c>
      <c r="D26" s="115" t="s">
        <v>209</v>
      </c>
      <c r="E26" s="117" t="s">
        <v>210</v>
      </c>
      <c r="F26" s="117" t="s">
        <v>211</v>
      </c>
      <c r="G26" s="115" t="s">
        <v>212</v>
      </c>
      <c r="J26" s="115" t="s">
        <v>213</v>
      </c>
    </row>
    <row r="27" spans="2:10" x14ac:dyDescent="0.25">
      <c r="C27" s="116"/>
      <c r="D27" s="115"/>
      <c r="E27" s="117"/>
      <c r="F27" s="117"/>
      <c r="G27" s="115"/>
      <c r="J27" s="115"/>
    </row>
    <row r="28" spans="2:10" x14ac:dyDescent="0.25">
      <c r="C28" s="116"/>
      <c r="D28" s="115"/>
      <c r="E28" s="117"/>
      <c r="F28" s="117"/>
      <c r="G28" s="115"/>
      <c r="J28" s="115"/>
    </row>
    <row r="29" spans="2:10" x14ac:dyDescent="0.25">
      <c r="C29" s="68"/>
      <c r="D29" s="69"/>
      <c r="E29" s="70"/>
      <c r="F29" s="70"/>
      <c r="G29" s="69"/>
      <c r="J29" s="69"/>
    </row>
    <row r="30" spans="2:10" x14ac:dyDescent="0.25">
      <c r="B30" s="53" t="s">
        <v>214</v>
      </c>
      <c r="C30" s="68" t="s">
        <v>215</v>
      </c>
      <c r="D30" s="69"/>
      <c r="E30" s="70"/>
      <c r="F30" s="70"/>
      <c r="G30" s="69"/>
      <c r="J30" s="69" t="s">
        <v>216</v>
      </c>
    </row>
    <row r="31" spans="2:10" x14ac:dyDescent="0.25">
      <c r="B31" s="53" t="s">
        <v>217</v>
      </c>
      <c r="C31" s="68" t="s">
        <v>215</v>
      </c>
      <c r="D31" s="69"/>
      <c r="E31" s="70"/>
      <c r="F31" s="70"/>
      <c r="G31" s="69"/>
      <c r="J31" s="69" t="s">
        <v>218</v>
      </c>
    </row>
    <row r="32" spans="2:10" x14ac:dyDescent="0.25">
      <c r="B32" s="53" t="s">
        <v>219</v>
      </c>
      <c r="C32" s="68" t="s">
        <v>215</v>
      </c>
      <c r="D32" s="69"/>
      <c r="E32" s="70"/>
      <c r="F32" s="70"/>
      <c r="G32" s="69"/>
      <c r="J32" s="69" t="s">
        <v>220</v>
      </c>
    </row>
    <row r="33" spans="2:10" x14ac:dyDescent="0.25">
      <c r="B33" s="53" t="s">
        <v>221</v>
      </c>
      <c r="C33" s="68" t="s">
        <v>215</v>
      </c>
      <c r="D33" s="69"/>
      <c r="E33" s="70"/>
      <c r="F33" s="70"/>
      <c r="G33" s="69"/>
      <c r="J33" s="69" t="s">
        <v>222</v>
      </c>
    </row>
    <row r="34" spans="2:10" x14ac:dyDescent="0.25">
      <c r="B34" s="53" t="s">
        <v>303</v>
      </c>
      <c r="C34" s="68"/>
      <c r="D34" s="75">
        <v>110000</v>
      </c>
      <c r="E34" s="70"/>
      <c r="F34" s="70"/>
      <c r="G34" s="69">
        <v>3027</v>
      </c>
      <c r="J34" s="69" t="s">
        <v>304</v>
      </c>
    </row>
    <row r="35" spans="2:10" x14ac:dyDescent="0.25">
      <c r="C35" s="68"/>
      <c r="D35" s="69"/>
      <c r="E35" s="70"/>
      <c r="F35" s="70"/>
      <c r="G35" s="69"/>
      <c r="J35" s="69"/>
    </row>
    <row r="36" spans="2:10" x14ac:dyDescent="0.25">
      <c r="B36" s="71" t="s">
        <v>223</v>
      </c>
    </row>
    <row r="37" spans="2:10" x14ac:dyDescent="0.25">
      <c r="B37" s="53" t="s">
        <v>224</v>
      </c>
    </row>
    <row r="38" spans="2:10" x14ac:dyDescent="0.25">
      <c r="B38" s="53" t="s">
        <v>225</v>
      </c>
      <c r="C38" s="53" t="s">
        <v>226</v>
      </c>
      <c r="D38" s="53">
        <v>68400</v>
      </c>
      <c r="E38" s="53">
        <v>950</v>
      </c>
      <c r="F38" s="53">
        <v>70</v>
      </c>
      <c r="G38" s="53">
        <v>2810</v>
      </c>
    </row>
    <row r="39" spans="2:10" x14ac:dyDescent="0.25">
      <c r="B39" s="53" t="s">
        <v>227</v>
      </c>
      <c r="C39" s="53" t="s">
        <v>226</v>
      </c>
      <c r="D39" s="53">
        <v>40000</v>
      </c>
      <c r="E39" s="53">
        <v>340</v>
      </c>
      <c r="F39" s="53">
        <v>50</v>
      </c>
      <c r="G39" s="53">
        <v>190</v>
      </c>
    </row>
    <row r="40" spans="2:10" x14ac:dyDescent="0.25">
      <c r="B40" s="53" t="s">
        <v>228</v>
      </c>
      <c r="C40" s="53" t="s">
        <v>226</v>
      </c>
      <c r="D40" s="53">
        <v>72300</v>
      </c>
      <c r="E40" s="53">
        <v>1100</v>
      </c>
      <c r="F40" s="53">
        <v>110</v>
      </c>
      <c r="G40" s="53">
        <v>3460</v>
      </c>
    </row>
    <row r="41" spans="2:10" x14ac:dyDescent="0.25">
      <c r="B41" s="53" t="s">
        <v>229</v>
      </c>
      <c r="C41" s="53" t="s">
        <v>226</v>
      </c>
      <c r="D41" s="53">
        <v>32900</v>
      </c>
      <c r="E41" s="53">
        <v>790</v>
      </c>
      <c r="F41" s="53">
        <v>70</v>
      </c>
      <c r="G41" s="53">
        <v>2250</v>
      </c>
    </row>
    <row r="42" spans="2:10" x14ac:dyDescent="0.25">
      <c r="B42" s="53" t="s">
        <v>230</v>
      </c>
      <c r="C42" s="53" t="s">
        <v>226</v>
      </c>
      <c r="D42" s="53">
        <v>95300</v>
      </c>
      <c r="E42" s="53">
        <v>960</v>
      </c>
      <c r="F42" s="53">
        <v>100</v>
      </c>
      <c r="G42" s="53">
        <v>2920</v>
      </c>
    </row>
    <row r="43" spans="2:10" x14ac:dyDescent="0.25">
      <c r="B43" s="53" t="s">
        <v>231</v>
      </c>
      <c r="C43" s="53" t="s">
        <v>226</v>
      </c>
      <c r="D43" s="53">
        <v>64500</v>
      </c>
      <c r="E43" s="53">
        <v>1020</v>
      </c>
      <c r="F43" s="53">
        <v>100</v>
      </c>
      <c r="G43" s="53">
        <v>2500</v>
      </c>
    </row>
    <row r="44" spans="2:10" x14ac:dyDescent="0.25">
      <c r="B44" s="53" t="s">
        <v>232</v>
      </c>
      <c r="C44" s="53" t="s">
        <v>226</v>
      </c>
      <c r="D44" s="53">
        <v>117300</v>
      </c>
      <c r="E44" s="53">
        <v>1060</v>
      </c>
      <c r="F44" s="53">
        <v>70</v>
      </c>
      <c r="G44" s="53">
        <v>2520</v>
      </c>
    </row>
    <row r="45" spans="2:10" x14ac:dyDescent="0.25">
      <c r="B45" s="3" t="s">
        <v>233</v>
      </c>
    </row>
    <row r="46" spans="2:10" x14ac:dyDescent="0.25">
      <c r="B46" s="53" t="s">
        <v>234</v>
      </c>
      <c r="C46" s="53" t="s">
        <v>226</v>
      </c>
      <c r="D46" s="53">
        <v>124200</v>
      </c>
      <c r="E46" s="53">
        <v>1300</v>
      </c>
      <c r="F46" s="53">
        <v>160</v>
      </c>
      <c r="G46" s="53">
        <v>3970</v>
      </c>
      <c r="J46" s="18"/>
    </row>
    <row r="47" spans="2:10" x14ac:dyDescent="0.25">
      <c r="B47" s="53" t="s">
        <v>235</v>
      </c>
      <c r="C47" s="53" t="s">
        <v>226</v>
      </c>
      <c r="D47" s="53">
        <v>88800</v>
      </c>
      <c r="E47" s="53">
        <v>1200</v>
      </c>
      <c r="F47" s="53">
        <v>90</v>
      </c>
      <c r="G47" s="53">
        <v>2540</v>
      </c>
    </row>
    <row r="49" spans="2:10" x14ac:dyDescent="0.25">
      <c r="B49" s="53" t="s">
        <v>236</v>
      </c>
    </row>
    <row r="50" spans="2:10" x14ac:dyDescent="0.25">
      <c r="B50" s="53" t="s">
        <v>224</v>
      </c>
    </row>
    <row r="51" spans="2:10" x14ac:dyDescent="0.25">
      <c r="B51" s="53" t="s">
        <v>237</v>
      </c>
      <c r="C51" s="53" t="s">
        <v>238</v>
      </c>
      <c r="D51" s="53">
        <v>156300</v>
      </c>
      <c r="E51" s="53">
        <v>2140</v>
      </c>
      <c r="F51" s="53">
        <v>170</v>
      </c>
      <c r="G51" s="53">
        <v>2590</v>
      </c>
    </row>
    <row r="52" spans="2:10" x14ac:dyDescent="0.25">
      <c r="B52" s="53" t="s">
        <v>239</v>
      </c>
      <c r="C52" s="53" t="s">
        <v>240</v>
      </c>
      <c r="D52" s="53">
        <v>56000</v>
      </c>
      <c r="E52" s="53">
        <v>880</v>
      </c>
      <c r="F52" s="53">
        <v>40</v>
      </c>
      <c r="G52" s="53">
        <v>1510</v>
      </c>
    </row>
    <row r="53" spans="2:10" x14ac:dyDescent="0.25">
      <c r="B53" s="53" t="s">
        <v>241</v>
      </c>
      <c r="C53" s="53" t="s">
        <v>242</v>
      </c>
      <c r="D53" s="53">
        <v>125100</v>
      </c>
      <c r="E53" s="53">
        <v>1580</v>
      </c>
      <c r="F53" s="53">
        <v>150</v>
      </c>
      <c r="G53" s="53">
        <v>450</v>
      </c>
    </row>
    <row r="54" spans="2:10" x14ac:dyDescent="0.25">
      <c r="B54" s="53" t="s">
        <v>243</v>
      </c>
      <c r="C54" s="53" t="s">
        <v>244</v>
      </c>
      <c r="D54" s="53">
        <v>112600</v>
      </c>
      <c r="E54" s="53">
        <v>2450</v>
      </c>
      <c r="F54" s="53">
        <v>110</v>
      </c>
    </row>
    <row r="55" spans="2:10" x14ac:dyDescent="0.25">
      <c r="B55" s="53" t="s">
        <v>233</v>
      </c>
    </row>
    <row r="56" spans="2:10" x14ac:dyDescent="0.25">
      <c r="B56" s="53" t="s">
        <v>245</v>
      </c>
      <c r="C56" s="53" t="s">
        <v>238</v>
      </c>
      <c r="D56" s="53">
        <v>122800</v>
      </c>
      <c r="E56" s="53">
        <v>1770</v>
      </c>
      <c r="F56" s="53">
        <v>160</v>
      </c>
      <c r="G56" s="53">
        <v>1250</v>
      </c>
    </row>
    <row r="57" spans="2:10" x14ac:dyDescent="0.25">
      <c r="B57" s="53" t="s">
        <v>246</v>
      </c>
      <c r="C57" s="53" t="s">
        <v>238</v>
      </c>
      <c r="D57" s="53">
        <v>115200</v>
      </c>
      <c r="E57" s="53">
        <v>1850</v>
      </c>
      <c r="F57" s="53">
        <v>130</v>
      </c>
      <c r="G57" s="53">
        <v>1140</v>
      </c>
      <c r="J57" s="18"/>
    </row>
    <row r="58" spans="2:10" x14ac:dyDescent="0.25">
      <c r="B58" s="53" t="s">
        <v>247</v>
      </c>
      <c r="C58" s="53" t="s">
        <v>248</v>
      </c>
      <c r="D58" s="53">
        <v>21200</v>
      </c>
      <c r="E58" s="53">
        <v>540</v>
      </c>
      <c r="F58" s="53">
        <v>20</v>
      </c>
      <c r="G58" s="53">
        <v>250</v>
      </c>
    </row>
    <row r="59" spans="2:10" x14ac:dyDescent="0.25">
      <c r="B59" s="53" t="s">
        <v>249</v>
      </c>
      <c r="C59" s="53" t="s">
        <v>250</v>
      </c>
      <c r="D59" s="53">
        <v>31400</v>
      </c>
      <c r="E59" s="53">
        <v>770</v>
      </c>
      <c r="F59" s="53">
        <v>30</v>
      </c>
      <c r="G59" s="53">
        <v>500</v>
      </c>
    </row>
    <row r="60" spans="2:10" x14ac:dyDescent="0.25">
      <c r="B60" s="53" t="s">
        <v>251</v>
      </c>
      <c r="C60" s="53" t="s">
        <v>252</v>
      </c>
      <c r="D60" s="53">
        <v>39000</v>
      </c>
      <c r="E60" s="53">
        <v>1100</v>
      </c>
      <c r="F60" s="53">
        <v>40</v>
      </c>
      <c r="G60" s="53">
        <v>200</v>
      </c>
    </row>
    <row r="61" spans="2:10" x14ac:dyDescent="0.25">
      <c r="B61" s="53" t="s">
        <v>253</v>
      </c>
      <c r="C61" s="53" t="s">
        <v>254</v>
      </c>
      <c r="D61" s="53">
        <v>45100</v>
      </c>
      <c r="E61" s="53">
        <v>800</v>
      </c>
      <c r="F61" s="53">
        <v>70</v>
      </c>
      <c r="G61" s="53">
        <v>510</v>
      </c>
    </row>
    <row r="62" spans="2:10" x14ac:dyDescent="0.25">
      <c r="B62" s="53" t="s">
        <v>255</v>
      </c>
      <c r="C62" s="53" t="s">
        <v>256</v>
      </c>
      <c r="D62" s="53">
        <v>12000</v>
      </c>
      <c r="E62" s="53">
        <v>830</v>
      </c>
    </row>
    <row r="63" spans="2:10" x14ac:dyDescent="0.25">
      <c r="B63" s="53" t="s">
        <v>257</v>
      </c>
      <c r="C63" s="53" t="s">
        <v>258</v>
      </c>
      <c r="D63" s="53">
        <v>23700</v>
      </c>
      <c r="E63" s="53">
        <v>840</v>
      </c>
      <c r="F63" s="53">
        <v>30</v>
      </c>
      <c r="G63" s="53">
        <v>260</v>
      </c>
    </row>
    <row r="64" spans="2:10" x14ac:dyDescent="0.25">
      <c r="B64" s="53" t="s">
        <v>259</v>
      </c>
      <c r="C64" s="53" t="s">
        <v>260</v>
      </c>
      <c r="D64" s="53">
        <v>60100</v>
      </c>
      <c r="E64" s="53">
        <v>1300</v>
      </c>
      <c r="F64" s="53">
        <v>60</v>
      </c>
      <c r="G64" s="53">
        <v>390</v>
      </c>
    </row>
    <row r="65" spans="2:7" x14ac:dyDescent="0.25">
      <c r="B65" s="53" t="s">
        <v>261</v>
      </c>
      <c r="C65" s="53" t="s">
        <v>262</v>
      </c>
      <c r="D65" s="53">
        <v>40200</v>
      </c>
      <c r="E65" s="53">
        <v>640</v>
      </c>
      <c r="F65" s="53">
        <v>30</v>
      </c>
      <c r="G65" s="53">
        <v>930</v>
      </c>
    </row>
    <row r="66" spans="2:7" x14ac:dyDescent="0.25">
      <c r="B66" s="53" t="s">
        <v>263</v>
      </c>
      <c r="C66" s="53" t="s">
        <v>254</v>
      </c>
      <c r="D66" s="53">
        <v>44200</v>
      </c>
      <c r="E66" s="53">
        <v>740</v>
      </c>
      <c r="F66" s="53">
        <v>50</v>
      </c>
      <c r="G66" s="53">
        <v>740</v>
      </c>
    </row>
    <row r="67" spans="2:7" x14ac:dyDescent="0.25">
      <c r="B67" s="53" t="s">
        <v>264</v>
      </c>
      <c r="C67" s="53" t="s">
        <v>256</v>
      </c>
      <c r="D67" s="53">
        <v>28100</v>
      </c>
      <c r="E67" s="53">
        <v>1170</v>
      </c>
      <c r="F67" s="53">
        <v>70</v>
      </c>
      <c r="G67" s="53">
        <v>600</v>
      </c>
    </row>
    <row r="68" spans="2:7" x14ac:dyDescent="0.25">
      <c r="B68" s="53" t="s">
        <v>265</v>
      </c>
      <c r="C68" s="53" t="s">
        <v>248</v>
      </c>
      <c r="D68" s="53">
        <v>60000</v>
      </c>
      <c r="E68" s="53">
        <v>1410</v>
      </c>
      <c r="F68" s="53">
        <v>60</v>
      </c>
    </row>
    <row r="69" spans="2:7" x14ac:dyDescent="0.25">
      <c r="B69" s="53" t="s">
        <v>266</v>
      </c>
      <c r="C69" s="53" t="s">
        <v>267</v>
      </c>
      <c r="D69" s="53">
        <v>121500</v>
      </c>
      <c r="E69" s="53">
        <v>2370</v>
      </c>
      <c r="F69" s="53">
        <v>150</v>
      </c>
    </row>
    <row r="70" spans="2:7" x14ac:dyDescent="0.25">
      <c r="B70" s="53" t="s">
        <v>268</v>
      </c>
      <c r="C70" s="53" t="s">
        <v>269</v>
      </c>
      <c r="D70" s="53">
        <v>86600</v>
      </c>
      <c r="E70" s="53">
        <v>1590</v>
      </c>
      <c r="F70" s="53">
        <v>100</v>
      </c>
      <c r="G70" s="53">
        <v>500</v>
      </c>
    </row>
    <row r="71" spans="2:7" x14ac:dyDescent="0.25">
      <c r="B71" s="53" t="s">
        <v>270</v>
      </c>
      <c r="C71" s="53" t="s">
        <v>271</v>
      </c>
      <c r="D71" s="53">
        <v>63000</v>
      </c>
      <c r="E71" s="53">
        <v>1070</v>
      </c>
      <c r="F71" s="53">
        <v>100</v>
      </c>
      <c r="G71" s="53">
        <v>510</v>
      </c>
    </row>
    <row r="72" spans="2:7" x14ac:dyDescent="0.25">
      <c r="B72" s="53" t="s">
        <v>272</v>
      </c>
      <c r="C72" s="53" t="s">
        <v>271</v>
      </c>
      <c r="D72" s="53">
        <v>33000</v>
      </c>
      <c r="E72" s="53">
        <v>690</v>
      </c>
      <c r="F72" s="53">
        <v>20</v>
      </c>
      <c r="G72" s="53">
        <v>140</v>
      </c>
    </row>
    <row r="74" spans="2:7" x14ac:dyDescent="0.25">
      <c r="B74" s="53" t="s">
        <v>273</v>
      </c>
      <c r="C74" s="53" t="s">
        <v>274</v>
      </c>
      <c r="D74" s="53">
        <v>22000</v>
      </c>
      <c r="E74" s="53">
        <v>50</v>
      </c>
      <c r="F74" s="53">
        <v>30</v>
      </c>
    </row>
    <row r="75" spans="2:7" x14ac:dyDescent="0.25">
      <c r="B75" s="53" t="s">
        <v>275</v>
      </c>
      <c r="C75" s="53" t="s">
        <v>274</v>
      </c>
      <c r="D75" s="53">
        <v>15200</v>
      </c>
      <c r="E75" s="53">
        <v>50</v>
      </c>
      <c r="F75" s="53">
        <v>30</v>
      </c>
    </row>
    <row r="76" spans="2:7" x14ac:dyDescent="0.25">
      <c r="B76" s="53" t="s">
        <v>276</v>
      </c>
      <c r="C76" s="53" t="s">
        <v>274</v>
      </c>
      <c r="D76" s="53">
        <v>20400</v>
      </c>
      <c r="E76" s="53">
        <v>130</v>
      </c>
      <c r="F76" s="53">
        <v>50</v>
      </c>
    </row>
    <row r="77" spans="2:7" x14ac:dyDescent="0.25">
      <c r="B77" s="53" t="s">
        <v>277</v>
      </c>
      <c r="C77" s="53" t="s">
        <v>278</v>
      </c>
      <c r="D77" s="53">
        <v>37700</v>
      </c>
      <c r="E77" s="53">
        <v>470</v>
      </c>
      <c r="F77" s="53">
        <v>30</v>
      </c>
      <c r="G77" s="53">
        <v>190</v>
      </c>
    </row>
    <row r="78" spans="2:7" x14ac:dyDescent="0.25">
      <c r="B78" s="53" t="s">
        <v>279</v>
      </c>
      <c r="C78" s="53" t="s">
        <v>274</v>
      </c>
      <c r="D78" s="53">
        <v>17600</v>
      </c>
      <c r="E78" s="53">
        <v>50</v>
      </c>
      <c r="F78" s="53">
        <v>40</v>
      </c>
    </row>
    <row r="79" spans="2:7" x14ac:dyDescent="0.25">
      <c r="B79" s="53" t="s">
        <v>280</v>
      </c>
      <c r="C79" s="53" t="s">
        <v>274</v>
      </c>
      <c r="D79" s="53">
        <v>10000</v>
      </c>
      <c r="E79" s="53">
        <v>20</v>
      </c>
      <c r="F79" s="53">
        <v>20</v>
      </c>
    </row>
    <row r="80" spans="2:7" x14ac:dyDescent="0.25">
      <c r="B80" s="53" t="s">
        <v>281</v>
      </c>
      <c r="C80" s="53" t="s">
        <v>274</v>
      </c>
      <c r="D80" s="53">
        <v>15000</v>
      </c>
      <c r="E80" s="53">
        <v>50</v>
      </c>
      <c r="F80" s="53">
        <v>30</v>
      </c>
    </row>
    <row r="81" spans="2:7" x14ac:dyDescent="0.25">
      <c r="B81" s="53" t="s">
        <v>282</v>
      </c>
      <c r="C81" s="53" t="s">
        <v>274</v>
      </c>
      <c r="D81" s="53">
        <v>10300</v>
      </c>
      <c r="E81" s="53">
        <v>40</v>
      </c>
      <c r="F81" s="53">
        <v>20</v>
      </c>
    </row>
    <row r="82" spans="2:7" x14ac:dyDescent="0.25">
      <c r="B82" s="53" t="s">
        <v>283</v>
      </c>
      <c r="C82" s="53" t="s">
        <v>274</v>
      </c>
      <c r="D82" s="53">
        <v>5800</v>
      </c>
      <c r="E82" s="53">
        <v>40</v>
      </c>
      <c r="F82" s="53">
        <v>20</v>
      </c>
    </row>
    <row r="83" spans="2:7" x14ac:dyDescent="0.25">
      <c r="B83" s="53" t="s">
        <v>284</v>
      </c>
    </row>
    <row r="84" spans="2:7" x14ac:dyDescent="0.25">
      <c r="B84" s="53" t="s">
        <v>285</v>
      </c>
      <c r="C84" s="53" t="s">
        <v>286</v>
      </c>
      <c r="D84" s="53">
        <v>5500</v>
      </c>
      <c r="E84" s="53">
        <v>30</v>
      </c>
      <c r="F84" s="53">
        <v>20</v>
      </c>
    </row>
    <row r="85" spans="2:7" x14ac:dyDescent="0.25">
      <c r="B85" s="53" t="s">
        <v>287</v>
      </c>
      <c r="C85" s="53" t="s">
        <v>288</v>
      </c>
      <c r="D85" s="53">
        <v>100000</v>
      </c>
      <c r="E85" s="53">
        <v>2260</v>
      </c>
      <c r="F85" s="53">
        <v>90</v>
      </c>
      <c r="G85" s="53">
        <v>760</v>
      </c>
    </row>
    <row r="86" spans="2:7" x14ac:dyDescent="0.25">
      <c r="B86" s="53" t="s">
        <v>289</v>
      </c>
      <c r="C86" s="53" t="s">
        <v>290</v>
      </c>
      <c r="D86" s="53">
        <v>38800</v>
      </c>
      <c r="E86" s="53">
        <v>1090</v>
      </c>
      <c r="F86" s="53">
        <v>10</v>
      </c>
      <c r="G86" s="53">
        <v>300</v>
      </c>
    </row>
    <row r="87" spans="2:7" x14ac:dyDescent="0.25">
      <c r="B87" s="53" t="s">
        <v>291</v>
      </c>
      <c r="C87" s="53" t="s">
        <v>292</v>
      </c>
      <c r="D87" s="53">
        <v>176800</v>
      </c>
      <c r="E87" s="53">
        <v>3320</v>
      </c>
      <c r="F87" s="53">
        <v>160</v>
      </c>
      <c r="G87" s="53">
        <v>1110</v>
      </c>
    </row>
    <row r="88" spans="2:7" x14ac:dyDescent="0.25">
      <c r="B88" s="53" t="s">
        <v>293</v>
      </c>
      <c r="C88" s="53" t="s">
        <v>294</v>
      </c>
      <c r="D88" s="53">
        <v>65000</v>
      </c>
      <c r="E88" s="53">
        <v>1020</v>
      </c>
      <c r="F88" s="53">
        <v>60</v>
      </c>
      <c r="G88" s="53">
        <v>300</v>
      </c>
    </row>
    <row r="89" spans="2:7" x14ac:dyDescent="0.25">
      <c r="B89" s="53" t="s">
        <v>295</v>
      </c>
      <c r="C89" s="53" t="s">
        <v>296</v>
      </c>
      <c r="D89" s="53">
        <v>72900</v>
      </c>
      <c r="E89" s="53">
        <v>1650</v>
      </c>
      <c r="F89" s="53">
        <v>70</v>
      </c>
      <c r="G89" s="53">
        <v>1090</v>
      </c>
    </row>
    <row r="90" spans="2:7" x14ac:dyDescent="0.25">
      <c r="B90" s="53" t="s">
        <v>297</v>
      </c>
      <c r="C90" s="53" t="s">
        <v>298</v>
      </c>
      <c r="D90" s="53">
        <v>122000</v>
      </c>
      <c r="E90" s="53">
        <v>2200</v>
      </c>
      <c r="F90" s="53">
        <v>200</v>
      </c>
    </row>
    <row r="91" spans="2:7" x14ac:dyDescent="0.25">
      <c r="B91" s="53" t="s">
        <v>299</v>
      </c>
      <c r="C91" s="53" t="s">
        <v>286</v>
      </c>
      <c r="D91" s="53">
        <v>2700</v>
      </c>
      <c r="E91" s="53">
        <v>50</v>
      </c>
      <c r="F91" s="53">
        <v>20</v>
      </c>
    </row>
  </sheetData>
  <mergeCells count="6">
    <mergeCell ref="J26:J28"/>
    <mergeCell ref="C26:C28"/>
    <mergeCell ref="D26:D28"/>
    <mergeCell ref="E26:E28"/>
    <mergeCell ref="F26:F28"/>
    <mergeCell ref="G26:G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2"/>
  <sheetViews>
    <sheetView zoomScale="82" zoomScaleNormal="115" workbookViewId="0">
      <selection activeCell="D19" sqref="D19"/>
    </sheetView>
  </sheetViews>
  <sheetFormatPr defaultRowHeight="15" x14ac:dyDescent="0.25"/>
  <cols>
    <col min="1" max="1" width="9.140625" style="53"/>
    <col min="2" max="2" width="39.28515625" style="53" bestFit="1" customWidth="1"/>
    <col min="3" max="3" width="18" style="53" bestFit="1" customWidth="1"/>
    <col min="4" max="4" width="11.140625" style="53" bestFit="1" customWidth="1"/>
    <col min="5" max="9" width="9.140625" style="53"/>
    <col min="10" max="10" width="9.7109375" style="53" bestFit="1" customWidth="1"/>
    <col min="11" max="16384" width="9.140625" style="53"/>
  </cols>
  <sheetData>
    <row r="1" spans="1:5" x14ac:dyDescent="0.25">
      <c r="A1" s="53" t="s">
        <v>300</v>
      </c>
    </row>
    <row r="4" spans="1:5" x14ac:dyDescent="0.25">
      <c r="B4" s="53" t="s">
        <v>301</v>
      </c>
      <c r="C4" s="18"/>
    </row>
    <row r="5" spans="1:5" x14ac:dyDescent="0.25">
      <c r="B5" s="53" t="s">
        <v>314</v>
      </c>
      <c r="C5" s="5">
        <v>140000</v>
      </c>
    </row>
    <row r="6" spans="1:5" x14ac:dyDescent="0.25">
      <c r="B6" s="53" t="s">
        <v>302</v>
      </c>
      <c r="C6" s="18">
        <v>3100</v>
      </c>
    </row>
    <row r="7" spans="1:5" x14ac:dyDescent="0.25">
      <c r="B7" s="53" t="s">
        <v>313</v>
      </c>
      <c r="C7" s="79">
        <f>'Other Properties Rev'!C21</f>
        <v>1294</v>
      </c>
    </row>
    <row r="8" spans="1:5" x14ac:dyDescent="0.25">
      <c r="B8" s="53" t="s">
        <v>316</v>
      </c>
      <c r="C8" s="79">
        <f>'Other Properties Rev'!C20</f>
        <v>43481.537499999999</v>
      </c>
    </row>
    <row r="9" spans="1:5" x14ac:dyDescent="0.25">
      <c r="B9" s="53" t="s">
        <v>315</v>
      </c>
      <c r="C9" s="80">
        <f>('Other Properties Rev'!D12+'Other Properties Rev'!D13+'Other Properties Rev'!D14)</f>
        <v>32716732</v>
      </c>
    </row>
    <row r="10" spans="1:5" x14ac:dyDescent="0.25">
      <c r="C10" s="18"/>
    </row>
    <row r="11" spans="1:5" x14ac:dyDescent="0.25">
      <c r="B11" s="53" t="s">
        <v>324</v>
      </c>
    </row>
    <row r="12" spans="1:5" x14ac:dyDescent="0.25">
      <c r="B12" s="53" t="s">
        <v>320</v>
      </c>
      <c r="C12" s="18"/>
      <c r="D12" s="79">
        <v>3900</v>
      </c>
    </row>
    <row r="13" spans="1:5" x14ac:dyDescent="0.25">
      <c r="B13" s="77" t="s">
        <v>321</v>
      </c>
      <c r="D13" s="79">
        <v>1000</v>
      </c>
    </row>
    <row r="14" spans="1:5" x14ac:dyDescent="0.25">
      <c r="B14" s="78" t="s">
        <v>322</v>
      </c>
      <c r="C14" s="18"/>
      <c r="D14" s="79">
        <v>1000</v>
      </c>
    </row>
    <row r="15" spans="1:5" x14ac:dyDescent="0.25">
      <c r="B15" s="77" t="s">
        <v>325</v>
      </c>
      <c r="D15" s="44">
        <v>2900</v>
      </c>
    </row>
    <row r="16" spans="1:5" x14ac:dyDescent="0.25">
      <c r="B16" s="78" t="s">
        <v>326</v>
      </c>
      <c r="D16" s="44">
        <f>D15-D18</f>
        <v>2562.8274247127374</v>
      </c>
      <c r="E16" s="23"/>
    </row>
    <row r="17" spans="2:10" x14ac:dyDescent="0.25">
      <c r="B17" s="78" t="s">
        <v>327</v>
      </c>
      <c r="D17" s="23">
        <f>'Balance Sheet'!I20/'Balance Sheet'!I19</f>
        <v>0.11626640527146981</v>
      </c>
      <c r="E17" s="23"/>
    </row>
    <row r="18" spans="2:10" x14ac:dyDescent="0.25">
      <c r="B18" s="77" t="s">
        <v>54</v>
      </c>
      <c r="D18" s="44">
        <f>D15*D17</f>
        <v>337.17257528726242</v>
      </c>
    </row>
    <row r="19" spans="2:10" x14ac:dyDescent="0.25">
      <c r="B19" s="77" t="s">
        <v>323</v>
      </c>
      <c r="D19" s="81">
        <v>7</v>
      </c>
      <c r="E19" s="53" t="s">
        <v>328</v>
      </c>
    </row>
    <row r="20" spans="2:10" x14ac:dyDescent="0.25">
      <c r="C20" s="83"/>
      <c r="D20" s="84"/>
      <c r="E20" s="83"/>
      <c r="I20" s="53" t="s">
        <v>341</v>
      </c>
      <c r="J20" s="53" t="s">
        <v>335</v>
      </c>
    </row>
    <row r="21" spans="2:10" x14ac:dyDescent="0.25">
      <c r="B21" s="53" t="s">
        <v>134</v>
      </c>
      <c r="C21" s="87">
        <f>'Ratios and WACC'!K14</f>
        <v>0.34999999999999992</v>
      </c>
      <c r="D21" s="85"/>
      <c r="E21" s="83"/>
      <c r="H21" s="53" t="s">
        <v>342</v>
      </c>
      <c r="I21" s="58">
        <f>-D24</f>
        <v>-3900</v>
      </c>
    </row>
    <row r="22" spans="2:10" x14ac:dyDescent="0.25">
      <c r="B22" s="53" t="s">
        <v>163</v>
      </c>
      <c r="C22" s="87">
        <f>'Ratios and WACC'!K15</f>
        <v>0.12893155487530181</v>
      </c>
      <c r="D22" s="85"/>
      <c r="E22" s="83"/>
      <c r="H22" s="53">
        <v>1</v>
      </c>
      <c r="I22" s="58">
        <f>$D$25</f>
        <v>348.66949825</v>
      </c>
      <c r="J22" s="58">
        <f>I22*(1+$C$22)^H22</f>
        <v>393.62399879696386</v>
      </c>
    </row>
    <row r="23" spans="2:10" x14ac:dyDescent="0.25">
      <c r="B23" s="53" t="s">
        <v>329</v>
      </c>
      <c r="C23" s="87">
        <f>'Ratios and WACC'!K8</f>
        <v>3.0609999999999998E-2</v>
      </c>
      <c r="D23" s="85"/>
      <c r="E23" s="83"/>
      <c r="H23" s="53">
        <v>2</v>
      </c>
      <c r="I23" s="58">
        <f t="shared" ref="I23:I41" si="0">$D$25</f>
        <v>348.66949825</v>
      </c>
      <c r="J23" s="58">
        <f t="shared" ref="J23:J41" si="1">I23*(1+$C$22)^H23</f>
        <v>444.37455299809028</v>
      </c>
    </row>
    <row r="24" spans="2:10" x14ac:dyDescent="0.25">
      <c r="B24" s="53" t="s">
        <v>330</v>
      </c>
      <c r="C24" s="86"/>
      <c r="D24" s="88">
        <f>D12</f>
        <v>3900</v>
      </c>
      <c r="E24" s="83"/>
      <c r="H24" s="53">
        <v>3</v>
      </c>
      <c r="I24" s="58">
        <f t="shared" si="0"/>
        <v>348.66949825</v>
      </c>
      <c r="J24" s="58">
        <f t="shared" si="1"/>
        <v>501.66845506315133</v>
      </c>
    </row>
    <row r="25" spans="2:10" x14ac:dyDescent="0.25">
      <c r="B25" s="53" t="s">
        <v>331</v>
      </c>
      <c r="C25" s="86"/>
      <c r="D25" s="88">
        <f>(((C7*C5)+(C8*C6)+C9)/1000000)</f>
        <v>348.66949825</v>
      </c>
      <c r="E25" s="83"/>
      <c r="H25" s="53">
        <v>4</v>
      </c>
      <c r="I25" s="58">
        <f t="shared" si="0"/>
        <v>348.66949825</v>
      </c>
      <c r="J25" s="58">
        <f t="shared" si="1"/>
        <v>566.3493490063338</v>
      </c>
    </row>
    <row r="26" spans="2:10" x14ac:dyDescent="0.25">
      <c r="B26" s="53" t="s">
        <v>332</v>
      </c>
      <c r="C26" s="86"/>
      <c r="D26" s="88">
        <f>-C23*(D15-D36-D18)-C23*(D37-D13)+D36+D16+D37</f>
        <v>6029.9785544845608</v>
      </c>
      <c r="E26" s="83"/>
      <c r="H26" s="53">
        <v>5</v>
      </c>
      <c r="I26" s="58">
        <f t="shared" si="0"/>
        <v>348.66949825</v>
      </c>
      <c r="J26" s="58">
        <f t="shared" si="1"/>
        <v>639.36965117633542</v>
      </c>
    </row>
    <row r="27" spans="2:10" x14ac:dyDescent="0.25">
      <c r="C27" s="86"/>
      <c r="D27" s="86"/>
      <c r="E27" s="83"/>
      <c r="H27" s="53">
        <v>6</v>
      </c>
      <c r="I27" s="58">
        <f t="shared" si="0"/>
        <v>348.66949825</v>
      </c>
      <c r="J27" s="58">
        <f t="shared" si="1"/>
        <v>721.80457444257968</v>
      </c>
    </row>
    <row r="28" spans="2:10" x14ac:dyDescent="0.25">
      <c r="B28" s="53" t="s">
        <v>333</v>
      </c>
      <c r="C28" s="86"/>
      <c r="D28" s="89">
        <f>D24/D25</f>
        <v>11.185377612823636</v>
      </c>
      <c r="E28" s="83"/>
      <c r="H28" s="53">
        <v>7</v>
      </c>
      <c r="I28" s="58">
        <f t="shared" si="0"/>
        <v>348.66949825</v>
      </c>
      <c r="J28" s="58">
        <f t="shared" si="1"/>
        <v>814.86796054156696</v>
      </c>
    </row>
    <row r="29" spans="2:10" x14ac:dyDescent="0.25">
      <c r="B29" s="53" t="s">
        <v>334</v>
      </c>
      <c r="C29" s="86"/>
      <c r="D29" s="95" t="e">
        <f>NPER(C22,D25,I21)</f>
        <v>#NUM!</v>
      </c>
      <c r="E29" s="83"/>
      <c r="H29" s="53">
        <v>8</v>
      </c>
      <c r="I29" s="58">
        <f t="shared" si="0"/>
        <v>348.66949825</v>
      </c>
      <c r="J29" s="58">
        <f t="shared" si="1"/>
        <v>919.93015371225715</v>
      </c>
    </row>
    <row r="30" spans="2:10" x14ac:dyDescent="0.25">
      <c r="B30" s="53" t="s">
        <v>335</v>
      </c>
      <c r="C30" s="86"/>
      <c r="D30" s="90">
        <f>J42</f>
        <v>27567.333852790962</v>
      </c>
      <c r="E30" s="83"/>
      <c r="H30" s="53">
        <v>9</v>
      </c>
      <c r="I30" s="58">
        <f t="shared" si="0"/>
        <v>348.66949825</v>
      </c>
      <c r="J30" s="58">
        <f t="shared" si="1"/>
        <v>1038.5381788070538</v>
      </c>
    </row>
    <row r="31" spans="2:10" x14ac:dyDescent="0.25">
      <c r="B31" s="53" t="s">
        <v>336</v>
      </c>
      <c r="C31" s="86"/>
      <c r="D31" s="91">
        <f>NPV(C22,I21:I41)/D24</f>
        <v>-0.32589663950890113</v>
      </c>
      <c r="E31" s="83"/>
      <c r="H31" s="53">
        <v>10</v>
      </c>
      <c r="I31" s="58">
        <f t="shared" si="0"/>
        <v>348.66949825</v>
      </c>
      <c r="J31" s="58">
        <f t="shared" si="1"/>
        <v>1172.4385209980114</v>
      </c>
    </row>
    <row r="32" spans="2:10" x14ac:dyDescent="0.25">
      <c r="B32" s="53" t="s">
        <v>337</v>
      </c>
      <c r="C32" s="86"/>
      <c r="D32" s="92">
        <f>IRR(I21:I41,0.05)</f>
        <v>6.311545345369507E-2</v>
      </c>
      <c r="E32" s="83"/>
      <c r="H32" s="53">
        <v>11</v>
      </c>
      <c r="I32" s="58">
        <f t="shared" si="0"/>
        <v>348.66949825</v>
      </c>
      <c r="J32" s="58">
        <f t="shared" si="1"/>
        <v>1323.6028425059844</v>
      </c>
    </row>
    <row r="33" spans="2:10" x14ac:dyDescent="0.25">
      <c r="B33" s="53" t="s">
        <v>338</v>
      </c>
      <c r="C33" s="86"/>
      <c r="D33" s="92">
        <f>MIRR(I21:I41,C22,C23)</f>
        <v>4.5119559665668385E-2</v>
      </c>
      <c r="E33" s="83"/>
      <c r="H33" s="53">
        <v>12</v>
      </c>
      <c r="I33" s="58">
        <f t="shared" si="0"/>
        <v>348.66949825</v>
      </c>
      <c r="J33" s="58">
        <f t="shared" si="1"/>
        <v>1494.2570150276499</v>
      </c>
    </row>
    <row r="34" spans="2:10" x14ac:dyDescent="0.25">
      <c r="C34" s="86"/>
      <c r="D34" s="86"/>
      <c r="E34" s="83"/>
      <c r="H34" s="53">
        <v>13</v>
      </c>
      <c r="I34" s="58">
        <f t="shared" si="0"/>
        <v>348.66949825</v>
      </c>
      <c r="J34" s="58">
        <f t="shared" si="1"/>
        <v>1686.9138953584923</v>
      </c>
    </row>
    <row r="35" spans="2:10" x14ac:dyDescent="0.25">
      <c r="C35" s="86"/>
      <c r="D35" s="86"/>
      <c r="E35" s="83"/>
      <c r="H35" s="53">
        <v>14</v>
      </c>
      <c r="I35" s="58">
        <f t="shared" si="0"/>
        <v>348.66949825</v>
      </c>
      <c r="J35" s="58">
        <f t="shared" si="1"/>
        <v>1904.4103268278147</v>
      </c>
    </row>
    <row r="36" spans="2:10" x14ac:dyDescent="0.25">
      <c r="B36" s="53" t="s">
        <v>339</v>
      </c>
      <c r="C36" s="86"/>
      <c r="D36" s="88">
        <f>D14</f>
        <v>1000</v>
      </c>
      <c r="E36" s="83"/>
      <c r="H36" s="53">
        <v>15</v>
      </c>
      <c r="I36" s="58">
        <f t="shared" si="0"/>
        <v>348.66949825</v>
      </c>
      <c r="J36" s="58">
        <f t="shared" si="1"/>
        <v>2149.9489113863065</v>
      </c>
    </row>
    <row r="37" spans="2:10" x14ac:dyDescent="0.25">
      <c r="B37" s="53" t="s">
        <v>340</v>
      </c>
      <c r="C37" s="86"/>
      <c r="D37" s="88">
        <f>D16</f>
        <v>2562.8274247127374</v>
      </c>
      <c r="E37" s="83"/>
      <c r="H37" s="53">
        <v>16</v>
      </c>
      <c r="I37" s="58">
        <f t="shared" si="0"/>
        <v>348.66949825</v>
      </c>
      <c r="J37" s="58">
        <f t="shared" si="1"/>
        <v>2427.145167433805</v>
      </c>
    </row>
    <row r="38" spans="2:10" x14ac:dyDescent="0.25">
      <c r="C38" s="83"/>
      <c r="D38" s="83"/>
      <c r="E38" s="83"/>
      <c r="H38" s="53">
        <v>17</v>
      </c>
      <c r="I38" s="58">
        <f t="shared" si="0"/>
        <v>348.66949825</v>
      </c>
      <c r="J38" s="58">
        <f t="shared" si="1"/>
        <v>2740.0807677791204</v>
      </c>
    </row>
    <row r="39" spans="2:10" x14ac:dyDescent="0.25">
      <c r="H39" s="53">
        <v>18</v>
      </c>
      <c r="I39" s="58">
        <f t="shared" si="0"/>
        <v>348.66949825</v>
      </c>
      <c r="J39" s="58">
        <f t="shared" si="1"/>
        <v>3093.3636416527929</v>
      </c>
    </row>
    <row r="40" spans="2:10" x14ac:dyDescent="0.25">
      <c r="H40" s="53">
        <v>19</v>
      </c>
      <c r="I40" s="58">
        <f t="shared" si="0"/>
        <v>348.66949825</v>
      </c>
      <c r="J40" s="58">
        <f t="shared" si="1"/>
        <v>3492.1958257658134</v>
      </c>
    </row>
    <row r="41" spans="2:10" x14ac:dyDescent="0.25">
      <c r="H41" s="53">
        <v>20</v>
      </c>
      <c r="I41" s="58">
        <f t="shared" si="0"/>
        <v>348.66949825</v>
      </c>
      <c r="J41" s="58">
        <f t="shared" si="1"/>
        <v>3942.4500635108379</v>
      </c>
    </row>
    <row r="42" spans="2:10" x14ac:dyDescent="0.25">
      <c r="I42" s="94" t="s">
        <v>343</v>
      </c>
      <c r="J42" s="82">
        <f>SUM(J22:J41)+I21</f>
        <v>27567.333852790962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3"/>
  <sheetViews>
    <sheetView zoomScale="89" zoomScaleNormal="120" workbookViewId="0">
      <selection activeCell="L16" sqref="L16"/>
    </sheetView>
  </sheetViews>
  <sheetFormatPr defaultRowHeight="15" x14ac:dyDescent="0.25"/>
  <cols>
    <col min="1" max="1" width="29.42578125" bestFit="1" customWidth="1"/>
    <col min="2" max="2" width="9.140625" style="53" bestFit="1" customWidth="1"/>
    <col min="3" max="8" width="7" style="53" bestFit="1" customWidth="1"/>
    <col min="9" max="9" width="9.140625" style="53"/>
    <col min="10" max="10" width="62.42578125" bestFit="1" customWidth="1"/>
    <col min="11" max="12" width="46.7109375" bestFit="1" customWidth="1"/>
    <col min="13" max="13" width="12.85546875" bestFit="1" customWidth="1"/>
  </cols>
  <sheetData>
    <row r="1" spans="1:13" x14ac:dyDescent="0.25">
      <c r="A1" s="53"/>
      <c r="C1" s="113" t="s">
        <v>121</v>
      </c>
      <c r="D1" s="113"/>
      <c r="E1" s="113"/>
      <c r="F1" s="113" t="s">
        <v>178</v>
      </c>
      <c r="G1" s="113"/>
      <c r="H1" s="113"/>
      <c r="J1" s="3" t="s">
        <v>163</v>
      </c>
      <c r="K1" s="41"/>
      <c r="L1" s="53"/>
    </row>
    <row r="2" spans="1:13" x14ac:dyDescent="0.25">
      <c r="A2" s="3" t="s">
        <v>179</v>
      </c>
      <c r="B2" s="54">
        <v>2017</v>
      </c>
      <c r="C2" s="155">
        <v>2018</v>
      </c>
      <c r="D2" s="155">
        <v>2019</v>
      </c>
      <c r="E2" s="155">
        <v>2020</v>
      </c>
      <c r="F2" s="156">
        <v>2018</v>
      </c>
      <c r="G2" s="156">
        <v>2019</v>
      </c>
      <c r="H2" s="156">
        <v>2020</v>
      </c>
      <c r="J2" s="56" t="s">
        <v>164</v>
      </c>
      <c r="K2" s="41" t="s">
        <v>165</v>
      </c>
      <c r="L2" s="53" t="s">
        <v>166</v>
      </c>
    </row>
    <row r="3" spans="1:13" x14ac:dyDescent="0.25">
      <c r="A3" s="53" t="s">
        <v>99</v>
      </c>
      <c r="B3" s="41">
        <f>'Balance Sheet'!I18/'Balance Sheet'!I23</f>
        <v>0.13558325493885232</v>
      </c>
      <c r="C3" s="66">
        <f>'Balance Sheet'!J18/'Balance Sheet'!J23</f>
        <v>0.17295277199312906</v>
      </c>
      <c r="D3" s="66">
        <f>'Balance Sheet'!K18/'Balance Sheet'!K23</f>
        <v>0.21080432376325653</v>
      </c>
      <c r="E3" s="66">
        <f>'Balance Sheet'!L18/'Balance Sheet'!L23</f>
        <v>0.23973244233452581</v>
      </c>
      <c r="F3" s="157">
        <f>'Balance Sheet'!M18/'Balance Sheet'!M23</f>
        <v>0.13577470141179768</v>
      </c>
      <c r="G3" s="157">
        <f>'Balance Sheet'!N18/'Balance Sheet'!N23</f>
        <v>0.179095054123664</v>
      </c>
      <c r="H3" s="157">
        <f>'Balance Sheet'!O18/'Balance Sheet'!O23</f>
        <v>0.20379750582004019</v>
      </c>
      <c r="J3" s="53" t="s">
        <v>167</v>
      </c>
      <c r="K3" s="57">
        <v>5679</v>
      </c>
      <c r="L3" s="58">
        <f>K3+ (Financing!E3/1000000)</f>
        <v>9579</v>
      </c>
    </row>
    <row r="4" spans="1:13" x14ac:dyDescent="0.25">
      <c r="A4" s="53" t="s">
        <v>180</v>
      </c>
      <c r="B4" s="41">
        <f>('Balance Sheet'!I18-'Balance Sheet'!I12)/'Balance Sheet'!I28</f>
        <v>1.8114406779661016</v>
      </c>
      <c r="C4" s="66">
        <f>('Balance Sheet'!J18-'Balance Sheet'!J12)/'Balance Sheet'!J28</f>
        <v>0.64397233540756915</v>
      </c>
      <c r="D4" s="66">
        <f>('Balance Sheet'!K18-'Balance Sheet'!K12)/'Balance Sheet'!K28</f>
        <v>0.64157091646810471</v>
      </c>
      <c r="E4" s="66">
        <f>('Balance Sheet'!L18-'Balance Sheet'!L12)/'Balance Sheet'!L28</f>
        <v>0.66232114299469669</v>
      </c>
      <c r="F4" s="157">
        <f>('Balance Sheet'!M18-'Balance Sheet'!M12)/'Balance Sheet'!M28</f>
        <v>0.65115186698690142</v>
      </c>
      <c r="G4" s="157">
        <f>('Balance Sheet'!N18-'Balance Sheet'!N12)/'Balance Sheet'!N28</f>
        <v>0.65877893645147689</v>
      </c>
      <c r="H4" s="157">
        <f>('Balance Sheet'!O18-'Balance Sheet'!O12)/'Balance Sheet'!O28</f>
        <v>0.6902405490137985</v>
      </c>
      <c r="J4" s="53" t="s">
        <v>168</v>
      </c>
      <c r="K4" s="64">
        <f>('Balance Sheet'!I29/'Balance Sheet'!I27)</f>
        <v>250.38356164383561</v>
      </c>
      <c r="L4" s="58">
        <f>K3+ (Financing!E3/1000000)</f>
        <v>9579</v>
      </c>
      <c r="M4">
        <f>'Balance Sheet'!I29/'Balance Sheet'!I27</f>
        <v>250.38356164383561</v>
      </c>
    </row>
    <row r="5" spans="1:13" x14ac:dyDescent="0.25">
      <c r="A5" s="53" t="s">
        <v>181</v>
      </c>
      <c r="B5" s="41">
        <f>'Income Statement'!I49/'Income Statement'!I22</f>
        <v>0.8863049095607235</v>
      </c>
      <c r="C5" s="66">
        <f>'Income Statement'!J49/'Income Statement'!J22</f>
        <v>0.80357811857041661</v>
      </c>
      <c r="D5" s="66">
        <f>'Income Statement'!K49/'Income Statement'!K22</f>
        <v>2.2886838488340113</v>
      </c>
      <c r="E5" s="66">
        <f>'Income Statement'!L49/'Income Statement'!L22</f>
        <v>-1.2621167450451469</v>
      </c>
      <c r="F5" s="157">
        <f>'Income Statement'!M49/'Income Statement'!M22</f>
        <v>1.6119318901695174</v>
      </c>
      <c r="G5" s="157">
        <f>'Income Statement'!N49/'Income Statement'!N22</f>
        <v>3.2067289459429551</v>
      </c>
      <c r="H5" s="157">
        <f>'Income Statement'!O49/'Income Statement'!O22</f>
        <v>-0.47788711373334086</v>
      </c>
      <c r="J5" s="53" t="s">
        <v>169</v>
      </c>
      <c r="K5" s="65">
        <f>K3/(K3+K4)</f>
        <v>0.95777241275745362</v>
      </c>
      <c r="L5" s="58">
        <f>L3/(L3+L4)</f>
        <v>0.5</v>
      </c>
    </row>
    <row r="6" spans="1:13" x14ac:dyDescent="0.25">
      <c r="A6" s="53"/>
      <c r="B6" s="41"/>
      <c r="C6" s="66"/>
      <c r="D6" s="66"/>
      <c r="E6" s="66"/>
      <c r="F6" s="157"/>
      <c r="G6" s="157"/>
      <c r="H6" s="157"/>
      <c r="J6" s="53" t="s">
        <v>170</v>
      </c>
      <c r="K6" s="65">
        <f>K4/(K3+K4)</f>
        <v>4.222758724254641E-2</v>
      </c>
      <c r="L6" s="63">
        <f>L4/(L3+L4)</f>
        <v>0.5</v>
      </c>
    </row>
    <row r="7" spans="1:13" x14ac:dyDescent="0.25">
      <c r="A7" s="3" t="s">
        <v>182</v>
      </c>
      <c r="B7" s="41"/>
      <c r="C7" s="66"/>
      <c r="D7" s="66"/>
      <c r="E7" s="66"/>
      <c r="F7" s="157"/>
      <c r="G7" s="157"/>
      <c r="H7" s="157"/>
      <c r="J7" s="56" t="s">
        <v>161</v>
      </c>
      <c r="K7" s="53"/>
      <c r="L7" s="53"/>
    </row>
    <row r="8" spans="1:13" x14ac:dyDescent="0.25">
      <c r="A8" s="53" t="s">
        <v>183</v>
      </c>
      <c r="B8" s="41">
        <f>'Income Statement'!I10/(('Balance Sheet'!I12+'Balance Sheet'!H12)/2)</f>
        <v>77.66101694915254</v>
      </c>
      <c r="C8" s="66">
        <f>'Income Statement'!J10/(('Balance Sheet'!J12+'Balance Sheet'!I12)/2)</f>
        <v>54.268715437169341</v>
      </c>
      <c r="D8" s="66">
        <f>'Income Statement'!K10/(('Balance Sheet'!K12+'Balance Sheet'!J12)/2)</f>
        <v>54.76336210128494</v>
      </c>
      <c r="E8" s="66">
        <f>'Income Statement'!L10/(('Balance Sheet'!L12+'Balance Sheet'!K12)/2)</f>
        <v>37.560212603426919</v>
      </c>
      <c r="F8" s="157">
        <f>'Income Statement'!M10/(('Balance Sheet'!M12+'Balance Sheet'!L12)/2)</f>
        <v>69.70664327115206</v>
      </c>
      <c r="G8" s="157">
        <f>'Income Statement'!N10/(('Balance Sheet'!N12+'Balance Sheet'!M12)/2)</f>
        <v>35.647838986974378</v>
      </c>
      <c r="H8" s="157">
        <f>'Income Statement'!O10/(('Balance Sheet'!O12+'Balance Sheet'!N12)/2)</f>
        <v>23.269398908345195</v>
      </c>
      <c r="J8" s="53" t="s">
        <v>171</v>
      </c>
      <c r="K8" s="21">
        <v>3.0609999999999998E-2</v>
      </c>
      <c r="L8" s="59">
        <f>K8</f>
        <v>3.0609999999999998E-2</v>
      </c>
    </row>
    <row r="9" spans="1:13" x14ac:dyDescent="0.25">
      <c r="A9" s="53" t="s">
        <v>184</v>
      </c>
      <c r="B9" s="41">
        <f>'Income Statement'!I12/(('Balance Sheet'!I9+'Balance Sheet'!H9)/2)</f>
        <v>7.8079268292682924</v>
      </c>
      <c r="C9" s="66">
        <f>'Income Statement'!J12/(('Balance Sheet'!J9+'Balance Sheet'!I9)/2)</f>
        <v>4.4127226909341903</v>
      </c>
      <c r="D9" s="66">
        <f>'Income Statement'!K12/(('Balance Sheet'!K9+'Balance Sheet'!J9)/2)</f>
        <v>4.6571301382589194</v>
      </c>
      <c r="E9" s="66">
        <f>'Income Statement'!L12/(('Balance Sheet'!L9+'Balance Sheet'!K9)/2)</f>
        <v>3.4350358550703421</v>
      </c>
      <c r="F9" s="157">
        <f>'Income Statement'!M12/(('Balance Sheet'!M9+'Balance Sheet'!L9)/2)</f>
        <v>8.5089299936039922</v>
      </c>
      <c r="G9" s="157">
        <f>'Income Statement'!N12/(('Balance Sheet'!N9+'Balance Sheet'!M9)/2)</f>
        <v>5.3385612485925051</v>
      </c>
      <c r="H9" s="157">
        <f>'Income Statement'!O12/(('Balance Sheet'!O9+'Balance Sheet'!N9)/2)</f>
        <v>4.3706887138594119</v>
      </c>
      <c r="J9" s="53" t="s">
        <v>172</v>
      </c>
      <c r="K9" s="53">
        <v>0.85</v>
      </c>
      <c r="L9" s="60">
        <f>K9</f>
        <v>0.85</v>
      </c>
    </row>
    <row r="10" spans="1:13" x14ac:dyDescent="0.25">
      <c r="A10" s="53" t="s">
        <v>185</v>
      </c>
      <c r="B10" s="41">
        <f>'Income Statement'!I12/(('Balance Sheet'!I19+'Balance Sheet'!H19)/3)</f>
        <v>0.27941229952358443</v>
      </c>
      <c r="C10" s="66">
        <f>'Income Statement'!J12/(('Balance Sheet'!J19+'Balance Sheet'!I19)/3)</f>
        <v>0.1777868218873318</v>
      </c>
      <c r="D10" s="66">
        <f>'Income Statement'!K12/(('Balance Sheet'!K19+'Balance Sheet'!J19)/3)</f>
        <v>0.16998823506124286</v>
      </c>
      <c r="E10" s="66">
        <f>'Income Statement'!L12/(('Balance Sheet'!L19+'Balance Sheet'!K19)/3)</f>
        <v>9.9419404738985279E-2</v>
      </c>
      <c r="F10" s="157">
        <f>'Income Statement'!M12/(('Balance Sheet'!M19+'Balance Sheet'!L19)/3)</f>
        <v>0.23937662499682125</v>
      </c>
      <c r="G10" s="157">
        <f>'Income Statement'!N12/(('Balance Sheet'!N19+'Balance Sheet'!M19)/3)</f>
        <v>0.16701602454732897</v>
      </c>
      <c r="H10" s="157">
        <f>'Income Statement'!O12/(('Balance Sheet'!O19+'Balance Sheet'!N19)/3)</f>
        <v>0.12649977716823732</v>
      </c>
      <c r="J10" s="53" t="s">
        <v>173</v>
      </c>
      <c r="K10" s="21">
        <v>0.12</v>
      </c>
      <c r="L10" s="59">
        <f>K10</f>
        <v>0.12</v>
      </c>
    </row>
    <row r="11" spans="1:13" x14ac:dyDescent="0.25">
      <c r="A11" s="53" t="s">
        <v>186</v>
      </c>
      <c r="B11" s="41">
        <f>'Income Statement'!I12/(('Balance Sheet'!I23+'Balance Sheet'!H23)/2)</f>
        <v>0.12667243724496105</v>
      </c>
      <c r="C11" s="66">
        <f>'Income Statement'!J12/(('Balance Sheet'!J23+'Balance Sheet'!I23)/2)</f>
        <v>6.6817530580926807E-2</v>
      </c>
      <c r="D11" s="66">
        <f>'Income Statement'!K12/(('Balance Sheet'!K23+'Balance Sheet'!J23)/2)</f>
        <v>4.9218788087987582E-2</v>
      </c>
      <c r="E11" s="66">
        <f>'Income Statement'!L12/(('Balance Sheet'!L23+'Balance Sheet'!K23)/2)</f>
        <v>3.1364208519259675E-2</v>
      </c>
      <c r="F11" s="157">
        <f>'Income Statement'!M12/(('Balance Sheet'!M23+'Balance Sheet'!L23)/2)</f>
        <v>7.1556935638479979E-2</v>
      </c>
      <c r="G11" s="157">
        <f>'Income Statement'!N12/(('Balance Sheet'!N23+'Balance Sheet'!M23)/2)</f>
        <v>4.4915253490275912E-2</v>
      </c>
      <c r="H11" s="157">
        <f>'Income Statement'!O12/(('Balance Sheet'!O23+'Balance Sheet'!N23)/2)</f>
        <v>3.2686507089529554E-2</v>
      </c>
      <c r="J11" s="53" t="s">
        <v>161</v>
      </c>
      <c r="K11" s="61">
        <f>K8+(K9*K10)</f>
        <v>0.13261000000000001</v>
      </c>
      <c r="L11" s="61">
        <f>L8+(L9*L10)</f>
        <v>0.13261000000000001</v>
      </c>
    </row>
    <row r="12" spans="1:13" x14ac:dyDescent="0.25">
      <c r="A12" s="53"/>
      <c r="B12" s="41"/>
      <c r="C12" s="66"/>
      <c r="D12" s="66"/>
      <c r="E12" s="66"/>
      <c r="F12" s="157"/>
      <c r="G12" s="157"/>
      <c r="H12" s="157"/>
      <c r="J12" s="56" t="s">
        <v>162</v>
      </c>
      <c r="K12" s="53"/>
      <c r="L12" s="53"/>
    </row>
    <row r="13" spans="1:13" x14ac:dyDescent="0.25">
      <c r="A13" s="3" t="s">
        <v>187</v>
      </c>
      <c r="B13" s="41"/>
      <c r="C13" s="66"/>
      <c r="D13" s="66"/>
      <c r="E13" s="66"/>
      <c r="F13" s="157"/>
      <c r="G13" s="157"/>
      <c r="H13" s="157"/>
      <c r="J13" s="53" t="s">
        <v>174</v>
      </c>
      <c r="K13" s="61">
        <v>7.0000000000000007E-2</v>
      </c>
      <c r="L13" s="61">
        <v>7.0000000000000007E-2</v>
      </c>
    </row>
    <row r="14" spans="1:13" x14ac:dyDescent="0.25">
      <c r="A14" s="53" t="s">
        <v>188</v>
      </c>
      <c r="B14" s="41">
        <f>'Balance Sheet'!I32/'Balance Sheet'!I23</f>
        <v>0.87080589526497332</v>
      </c>
      <c r="C14" s="66">
        <f>'Balance Sheet'!J32/'Balance Sheet'!J23</f>
        <v>0.5818794164180241</v>
      </c>
      <c r="D14" s="66">
        <f>'Balance Sheet'!K32/'Balance Sheet'!K23</f>
        <v>0.5896404469195663</v>
      </c>
      <c r="E14" s="66">
        <f>'Balance Sheet'!L32/'Balance Sheet'!L23</f>
        <v>0.56824486904329963</v>
      </c>
      <c r="F14" s="157">
        <f>'Balance Sheet'!M32/'Balance Sheet'!M23</f>
        <v>0.45025773313817935</v>
      </c>
      <c r="G14" s="157">
        <f>'Balance Sheet'!N32/'Balance Sheet'!N23</f>
        <v>0.48624207038166256</v>
      </c>
      <c r="H14" s="157">
        <f>'Balance Sheet'!O32/'Balance Sheet'!O23</f>
        <v>0.46177878926331178</v>
      </c>
      <c r="J14" s="53" t="s">
        <v>175</v>
      </c>
      <c r="K14" s="61">
        <f>(('Income Statement'!I56+'Income Statement'!H56+'Income Statement'!G56)/3)</f>
        <v>0.34999999999999992</v>
      </c>
      <c r="L14" s="61">
        <f>K14</f>
        <v>0.34999999999999992</v>
      </c>
    </row>
    <row r="15" spans="1:13" x14ac:dyDescent="0.25">
      <c r="A15" s="53" t="s">
        <v>189</v>
      </c>
      <c r="B15" s="41">
        <f>'Balance Sheet'!I40/'Balance Sheet'!I23</f>
        <v>0.12919410473502665</v>
      </c>
      <c r="C15" s="66">
        <f>'Balance Sheet'!J40/'Balance Sheet'!J23</f>
        <v>2.3478086014610423E-2</v>
      </c>
      <c r="D15" s="66">
        <f>'Balance Sheet'!K40/'Balance Sheet'!K23</f>
        <v>6.3695718755613168E-2</v>
      </c>
      <c r="E15" s="66">
        <f>'Balance Sheet'!L40/'Balance Sheet'!L23</f>
        <v>0.13137353771409935</v>
      </c>
      <c r="F15" s="157">
        <f>'Balance Sheet'!M40/'Balance Sheet'!M23</f>
        <v>2.8209354619404645E-2</v>
      </c>
      <c r="G15" s="157">
        <f>'Balance Sheet'!N40/'Balance Sheet'!N23</f>
        <v>6.5398186178547091E-2</v>
      </c>
      <c r="H15" s="157">
        <f>'Balance Sheet'!O40/'Balance Sheet'!O23</f>
        <v>0.1215624335687233</v>
      </c>
      <c r="J15" s="53" t="s">
        <v>176</v>
      </c>
      <c r="K15" s="62">
        <f>(K5*K11)+(K6*K13*(1-K14))</f>
        <v>0.12893155487530181</v>
      </c>
      <c r="L15" s="62">
        <f>(L5*L11)+(L6*L13*(1-L14))</f>
        <v>8.9055000000000009E-2</v>
      </c>
    </row>
    <row r="16" spans="1:13" x14ac:dyDescent="0.25">
      <c r="A16" s="53" t="s">
        <v>190</v>
      </c>
      <c r="B16" s="41">
        <f>'Balance Sheet'!I32/'Balance Sheet'!I40</f>
        <v>6.7402912621359219</v>
      </c>
      <c r="C16" s="66">
        <f>'Balance Sheet'!J32/'Balance Sheet'!J40</f>
        <v>24.783937500523692</v>
      </c>
      <c r="D16" s="66">
        <f>'Balance Sheet'!K32/'Balance Sheet'!K40</f>
        <v>9.2571440975788413</v>
      </c>
      <c r="E16" s="66">
        <f>'Balance Sheet'!L32/'Balance Sheet'!L40</f>
        <v>4.3254134655332042</v>
      </c>
      <c r="F16" s="157">
        <f>'Balance Sheet'!M32/'Balance Sheet'!M40</f>
        <v>15.961291536547815</v>
      </c>
      <c r="G16" s="157">
        <f>'Balance Sheet'!N32/'Balance Sheet'!N40</f>
        <v>7.4351002496330256</v>
      </c>
      <c r="H16" s="157">
        <f>'Balance Sheet'!O32/'Balance Sheet'!O40</f>
        <v>3.7986964862977413</v>
      </c>
      <c r="J16" s="53" t="s">
        <v>177</v>
      </c>
      <c r="K16" s="53"/>
      <c r="L16" s="53"/>
    </row>
    <row r="17" spans="1:12" x14ac:dyDescent="0.25">
      <c r="A17" s="53" t="s">
        <v>191</v>
      </c>
      <c r="B17" s="41">
        <f>'Balance Sheet'!I23/'Balance Sheet'!I40</f>
        <v>7.7402912621359219</v>
      </c>
      <c r="C17" s="66">
        <f>'Balance Sheet'!J23/'Balance Sheet'!J40</f>
        <v>42.592909804389485</v>
      </c>
      <c r="D17" s="66">
        <f>'Balance Sheet'!K23/'Balance Sheet'!K40</f>
        <v>15.699642292079094</v>
      </c>
      <c r="E17" s="66">
        <f>'Balance Sheet'!L23/'Balance Sheet'!L40</f>
        <v>7.6118830123631316</v>
      </c>
      <c r="F17" s="157">
        <f>'Balance Sheet'!M23/'Balance Sheet'!M40</f>
        <v>35.4492335429794</v>
      </c>
      <c r="G17" s="157">
        <f>'Balance Sheet'!N23/'Balance Sheet'!N40</f>
        <v>15.290943960889779</v>
      </c>
      <c r="H17" s="157">
        <f>'Balance Sheet'!O23/'Balance Sheet'!O40</f>
        <v>8.2262255751458504</v>
      </c>
    </row>
    <row r="18" spans="1:12" x14ac:dyDescent="0.25">
      <c r="A18" s="53" t="s">
        <v>192</v>
      </c>
      <c r="B18" s="41">
        <f>('Balance Sheet'!I32-'Balance Sheet'!I28)/('Balance Sheet'!I23-'Balance Sheet'!I28)</f>
        <v>0.8604808669150017</v>
      </c>
      <c r="C18" s="66">
        <f>('Balance Sheet'!J32-'Balance Sheet'!J28)/('Balance Sheet'!J23-'Balance Sheet'!J28)</f>
        <v>0.42940656054656495</v>
      </c>
      <c r="D18" s="66">
        <f>('Balance Sheet'!K32-'Balance Sheet'!K28)/('Balance Sheet'!K23-'Balance Sheet'!K28)</f>
        <v>0.39005135036062627</v>
      </c>
      <c r="E18" s="66">
        <f>('Balance Sheet'!L32-'Balance Sheet'!L28)/('Balance Sheet'!L23-'Balance Sheet'!L28)</f>
        <v>0.32449341123023734</v>
      </c>
      <c r="F18" s="157">
        <f>('Balance Sheet'!M32-'Balance Sheet'!M28)/('Balance Sheet'!M23-'Balance Sheet'!M28)</f>
        <v>0.30695462231157827</v>
      </c>
      <c r="G18" s="157">
        <f>('Balance Sheet'!N32-'Balance Sheet'!N28)/('Balance Sheet'!N23-'Balance Sheet'!N28)</f>
        <v>0.29637475108348493</v>
      </c>
      <c r="H18" s="157">
        <f>('Balance Sheet'!O32-'Balance Sheet'!O28)/('Balance Sheet'!O23-'Balance Sheet'!O28)</f>
        <v>0.23847197157863215</v>
      </c>
    </row>
    <row r="19" spans="1:12" x14ac:dyDescent="0.25">
      <c r="A19" s="53" t="s">
        <v>193</v>
      </c>
      <c r="B19" s="41">
        <f>('Balance Sheet'!I32-'Balance Sheet'!I28)/('Balance Sheet'!I40+'Balance Sheet'!I32-'Balance Sheet'!I28)</f>
        <v>0.8604808669150017</v>
      </c>
      <c r="C19" s="66">
        <f>('Balance Sheet'!J32-'Balance Sheet'!J28)/('Balance Sheet'!J40+'Balance Sheet'!J32-'Balance Sheet'!J28)</f>
        <v>0.9305668575944438</v>
      </c>
      <c r="D19" s="66">
        <f>('Balance Sheet'!K32-'Balance Sheet'!K28)/('Balance Sheet'!K40+'Balance Sheet'!K32-'Balance Sheet'!K28)</f>
        <v>0.80468228916789031</v>
      </c>
      <c r="E19" s="66">
        <f>('Balance Sheet'!L32-'Balance Sheet'!L28)/('Balance Sheet'!L40+'Balance Sheet'!L32-'Balance Sheet'!L28)</f>
        <v>0.61221114381469033</v>
      </c>
      <c r="F19" s="157">
        <f>('Balance Sheet'!M32-'Balance Sheet'!M28)/('Balance Sheet'!M40+'Balance Sheet'!M32-'Balance Sheet'!M28)</f>
        <v>0.8961723433629093</v>
      </c>
      <c r="G19" s="157">
        <f>('Balance Sheet'!N32-'Balance Sheet'!N28)/('Balance Sheet'!N40+'Balance Sheet'!N32-'Balance Sheet'!N28)</f>
        <v>0.76792589229002151</v>
      </c>
      <c r="H19" s="157">
        <f>('Balance Sheet'!O32-'Balance Sheet'!O28)/('Balance Sheet'!O40+'Balance Sheet'!O32-'Balance Sheet'!O28)</f>
        <v>0.58097240084417134</v>
      </c>
      <c r="J19" s="53"/>
      <c r="K19" s="53"/>
      <c r="L19" s="53"/>
    </row>
    <row r="20" spans="1:12" x14ac:dyDescent="0.25">
      <c r="A20" s="53" t="s">
        <v>194</v>
      </c>
      <c r="B20" s="41">
        <f>('Balance Sheet'!I32-'Balance Sheet'!I28)/'Balance Sheet'!I40</f>
        <v>6.1674757281553401</v>
      </c>
      <c r="C20" s="66">
        <f>('Balance Sheet'!J32-'Balance Sheet'!J28)/'Balance Sheet'!J40</f>
        <v>13.402343972263854</v>
      </c>
      <c r="D20" s="66">
        <f>('Balance Sheet'!K32-'Balance Sheet'!K28)/'Balance Sheet'!K40</f>
        <v>4.1198634048070293</v>
      </c>
      <c r="E20" s="66">
        <f>('Balance Sheet'!L32-'Balance Sheet'!L28)/'Balance Sheet'!L40</f>
        <v>1.5787228901754149</v>
      </c>
      <c r="F20" s="157">
        <f>('Balance Sheet'!M32-'Balance Sheet'!M28)/'Balance Sheet'!M40</f>
        <v>8.6313451770880842</v>
      </c>
      <c r="G20" s="157">
        <f>('Balance Sheet'!N32-'Balance Sheet'!N28)/'Balance Sheet'!N40</f>
        <v>3.3089684147345451</v>
      </c>
      <c r="H20" s="157">
        <f>('Balance Sheet'!O32-'Balance Sheet'!O28)/'Balance Sheet'!O40</f>
        <v>1.3864776497170976</v>
      </c>
      <c r="J20" s="53"/>
      <c r="K20" s="53"/>
      <c r="L20" s="53"/>
    </row>
    <row r="21" spans="1:12" x14ac:dyDescent="0.25">
      <c r="A21" s="53"/>
      <c r="B21" s="41"/>
      <c r="C21" s="66"/>
      <c r="D21" s="66"/>
      <c r="E21" s="66"/>
      <c r="F21" s="157"/>
      <c r="G21" s="157"/>
      <c r="H21" s="157"/>
      <c r="J21" s="53" t="s">
        <v>157</v>
      </c>
      <c r="K21" s="5">
        <f>655.07*1000000</f>
        <v>655070000</v>
      </c>
      <c r="L21" s="53"/>
    </row>
    <row r="22" spans="1:12" x14ac:dyDescent="0.25">
      <c r="A22" s="3" t="s">
        <v>195</v>
      </c>
      <c r="B22" s="41"/>
      <c r="C22" s="66"/>
      <c r="D22" s="66"/>
      <c r="E22" s="66"/>
      <c r="F22" s="157"/>
      <c r="G22" s="157"/>
      <c r="H22" s="157"/>
      <c r="J22" s="53" t="s">
        <v>158</v>
      </c>
      <c r="K22" s="53">
        <v>8.67</v>
      </c>
      <c r="L22" s="53"/>
    </row>
    <row r="23" spans="1:12" x14ac:dyDescent="0.25">
      <c r="A23" s="53" t="s">
        <v>196</v>
      </c>
      <c r="B23" s="41">
        <f>'Income Statement'!I12/'Income Statement'!I7</f>
        <v>0.52782357790601808</v>
      </c>
      <c r="C23" s="66">
        <f>'Income Statement'!J12/'Income Statement'!J7</f>
        <v>0.50815332388324597</v>
      </c>
      <c r="D23" s="66">
        <f>'Income Statement'!K12/'Income Statement'!K7</f>
        <v>0.50815332388324586</v>
      </c>
      <c r="E23" s="66">
        <f>'Income Statement'!L12/'Income Statement'!L7</f>
        <v>0.50815332388324597</v>
      </c>
      <c r="F23" s="157">
        <f>'Income Statement'!M12/'Income Statement'!M7</f>
        <v>0.50815332388324597</v>
      </c>
      <c r="G23" s="157">
        <f>'Income Statement'!N12/'Income Statement'!N7</f>
        <v>0.50815332388324597</v>
      </c>
      <c r="H23" s="157">
        <f>'Income Statement'!O12/'Income Statement'!O7</f>
        <v>0.50815332388324597</v>
      </c>
      <c r="J23" s="53" t="s">
        <v>159</v>
      </c>
      <c r="K23" s="44">
        <f>K21*K22</f>
        <v>5679456900</v>
      </c>
      <c r="L23" s="44"/>
    </row>
    <row r="24" spans="1:12" x14ac:dyDescent="0.25">
      <c r="A24" s="53" t="s">
        <v>197</v>
      </c>
      <c r="B24" s="41">
        <f>'Income Statement'!I49/'Income Statement'!I7</f>
        <v>0.14138499587798845</v>
      </c>
      <c r="C24" s="66">
        <f>'Income Statement'!J49/'Income Statement'!J7</f>
        <v>0.13569452165039159</v>
      </c>
      <c r="D24" s="66">
        <f>'Income Statement'!K49/'Income Statement'!K7</f>
        <v>0.1609733835517218</v>
      </c>
      <c r="E24" s="66">
        <f>'Income Statement'!L49/'Income Statement'!L7</f>
        <v>0.24945549247613816</v>
      </c>
      <c r="F24" s="157">
        <f>'Income Statement'!M49/'Income Statement'!M7</f>
        <v>0.24716979615570236</v>
      </c>
      <c r="G24" s="157">
        <f>'Income Statement'!N49/'Income Statement'!N7</f>
        <v>0.19675449558343927</v>
      </c>
      <c r="H24" s="157">
        <f>'Income Statement'!O49/'Income Statement'!O7</f>
        <v>7.4233555109941965E-2</v>
      </c>
      <c r="J24" s="53" t="s">
        <v>160</v>
      </c>
      <c r="K24" s="44">
        <v>18950000000</v>
      </c>
      <c r="L24" s="44"/>
    </row>
    <row r="25" spans="1:12" x14ac:dyDescent="0.25">
      <c r="A25" s="53" t="s">
        <v>198</v>
      </c>
      <c r="B25" s="41">
        <f>'Income Statement'!I33/'Income Statement'!I7</f>
        <v>-0.17629843363561418</v>
      </c>
      <c r="C25" s="66">
        <f>'Income Statement'!J33/'Income Statement'!J7</f>
        <v>-3.3168366119368943E-2</v>
      </c>
      <c r="D25" s="66">
        <f>'Income Statement'!K33/'Income Statement'!K7</f>
        <v>9.0638905666656541E-2</v>
      </c>
      <c r="E25" s="66">
        <f>'Income Statement'!L33/'Income Statement'!L7</f>
        <v>0.44710400118617427</v>
      </c>
      <c r="F25" s="157">
        <f>'Income Statement'!M33/'Income Statement'!M7</f>
        <v>0.4792136865154451</v>
      </c>
      <c r="G25" s="157">
        <f>'Income Statement'!N33/'Income Statement'!N7</f>
        <v>0.51738093890528525</v>
      </c>
      <c r="H25" s="157">
        <f>'Income Statement'!O33/'Income Statement'!O7</f>
        <v>0.59554073594351731</v>
      </c>
      <c r="J25" s="53"/>
      <c r="K25" s="23"/>
      <c r="L25" s="23"/>
    </row>
    <row r="26" spans="1:12" x14ac:dyDescent="0.25">
      <c r="A26" s="53" t="s">
        <v>199</v>
      </c>
      <c r="B26" s="41">
        <f>'Income Statement'!I33/'Income Statement'!I22</f>
        <v>-1.1051679586563308</v>
      </c>
      <c r="C26" s="66">
        <f>'Income Statement'!J33/'Income Statement'!J22</f>
        <v>-0.19642188142958333</v>
      </c>
      <c r="D26" s="66">
        <f>'Income Statement'!K33/'Income Statement'!K22</f>
        <v>1.2886838488340113</v>
      </c>
      <c r="E26" s="66">
        <f>'Income Statement'!L33/'Income Statement'!L22</f>
        <v>-2.2621167450451471</v>
      </c>
      <c r="F26" s="157">
        <f>'Income Statement'!M33/'Income Statement'!M22</f>
        <v>3.1252193249912299</v>
      </c>
      <c r="G26" s="157">
        <f>'Income Statement'!N33/'Income Statement'!N22</f>
        <v>8.4323381173424501</v>
      </c>
      <c r="H26" s="157">
        <f>'Income Statement'!O33/'Income Statement'!O22</f>
        <v>-3.833862503138572</v>
      </c>
      <c r="J26" s="53"/>
      <c r="K26" s="23"/>
      <c r="L26" s="23"/>
    </row>
    <row r="27" spans="1:12" x14ac:dyDescent="0.25">
      <c r="A27" s="53" t="s">
        <v>200</v>
      </c>
      <c r="B27" s="41">
        <f>'Income Statement'!I33/'Balance Sheet'!I40</f>
        <v>-0.25952669902912623</v>
      </c>
      <c r="C27" s="66">
        <f>'Income Statement'!J33/'Balance Sheet'!J40</f>
        <v>-0.18107748454820613</v>
      </c>
      <c r="D27" s="66">
        <f>'Income Statement'!K33/'Balance Sheet'!K40</f>
        <v>0.15180394775244799</v>
      </c>
      <c r="E27" s="66">
        <f>'Income Statement'!L33/'Balance Sheet'!L40</f>
        <v>0.22759766679797525</v>
      </c>
      <c r="F27" s="157">
        <f>'Income Statement'!M33/'Balance Sheet'!M40</f>
        <v>1.8554651952078938</v>
      </c>
      <c r="G27" s="157">
        <f>'Income Statement'!N33/'Balance Sheet'!N40</f>
        <v>0.79780085476498819</v>
      </c>
      <c r="H27" s="157">
        <f>'Income Statement'!O33/'Balance Sheet'!O40</f>
        <v>0.33876325064914037</v>
      </c>
      <c r="J27" s="53"/>
      <c r="K27" s="23"/>
      <c r="L27" s="23"/>
    </row>
    <row r="28" spans="1:12" x14ac:dyDescent="0.25">
      <c r="J28" s="53"/>
      <c r="K28" s="53"/>
      <c r="L28" s="53"/>
    </row>
    <row r="29" spans="1:12" x14ac:dyDescent="0.25">
      <c r="A29" s="72" t="s">
        <v>102</v>
      </c>
      <c r="B29" s="73" t="s">
        <v>25</v>
      </c>
      <c r="D29" s="21"/>
      <c r="E29" s="21"/>
      <c r="F29"/>
      <c r="G29"/>
      <c r="H29"/>
      <c r="I29"/>
    </row>
    <row r="30" spans="1:12" x14ac:dyDescent="0.25">
      <c r="A30" s="53" t="s">
        <v>103</v>
      </c>
      <c r="B30" s="16" t="s">
        <v>25</v>
      </c>
      <c r="F30"/>
      <c r="G30"/>
      <c r="H30"/>
      <c r="I30"/>
    </row>
    <row r="31" spans="1:12" x14ac:dyDescent="0.25">
      <c r="A31" s="53" t="s">
        <v>104</v>
      </c>
      <c r="B31" s="16">
        <v>-4.2309880054408309</v>
      </c>
      <c r="F31"/>
      <c r="G31"/>
      <c r="H31"/>
      <c r="I31"/>
    </row>
    <row r="32" spans="1:12" x14ac:dyDescent="0.25">
      <c r="A32" s="53" t="s">
        <v>105</v>
      </c>
      <c r="B32" s="16">
        <v>-715.96993823945229</v>
      </c>
      <c r="C32"/>
      <c r="D32"/>
      <c r="E32"/>
      <c r="F32"/>
      <c r="G32"/>
      <c r="H32"/>
      <c r="I32"/>
    </row>
    <row r="33" spans="1:9" x14ac:dyDescent="0.25">
      <c r="A33" s="53" t="s">
        <v>106</v>
      </c>
      <c r="B33" s="16">
        <v>-2443.0547432845974</v>
      </c>
      <c r="C33"/>
      <c r="D33"/>
      <c r="E33"/>
      <c r="F33"/>
      <c r="G33"/>
      <c r="H33"/>
      <c r="I33"/>
    </row>
    <row r="34" spans="1:9" x14ac:dyDescent="0.25">
      <c r="A34" s="53"/>
      <c r="B34" s="16" t="s">
        <v>25</v>
      </c>
      <c r="C34"/>
      <c r="D34"/>
      <c r="E34"/>
      <c r="F34"/>
      <c r="G34"/>
      <c r="H34"/>
      <c r="I34"/>
    </row>
    <row r="35" spans="1:9" x14ac:dyDescent="0.25">
      <c r="A35" s="72" t="s">
        <v>107</v>
      </c>
      <c r="B35" s="73" t="s">
        <v>25</v>
      </c>
      <c r="C35"/>
      <c r="D35"/>
      <c r="E35"/>
      <c r="F35"/>
      <c r="G35"/>
      <c r="H35"/>
      <c r="I35"/>
    </row>
    <row r="36" spans="1:9" x14ac:dyDescent="0.25">
      <c r="A36" s="53" t="s">
        <v>108</v>
      </c>
      <c r="B36" s="16">
        <v>52.782357790601807</v>
      </c>
      <c r="C36"/>
      <c r="D36"/>
      <c r="E36"/>
      <c r="F36"/>
      <c r="G36"/>
      <c r="H36"/>
      <c r="I36"/>
    </row>
    <row r="37" spans="1:9" x14ac:dyDescent="0.25">
      <c r="A37" s="53" t="s">
        <v>109</v>
      </c>
      <c r="B37" s="16">
        <v>27.08161582852432</v>
      </c>
      <c r="C37"/>
      <c r="D37"/>
      <c r="E37"/>
      <c r="F37"/>
      <c r="G37"/>
      <c r="H37"/>
      <c r="I37"/>
    </row>
    <row r="38" spans="1:9" x14ac:dyDescent="0.25">
      <c r="A38" s="53" t="s">
        <v>110</v>
      </c>
      <c r="B38" s="16">
        <v>14.138499587798844</v>
      </c>
      <c r="C38"/>
      <c r="D38"/>
      <c r="E38"/>
      <c r="F38"/>
      <c r="G38"/>
      <c r="H38"/>
      <c r="I38"/>
    </row>
    <row r="39" spans="1:9" x14ac:dyDescent="0.25">
      <c r="A39" s="53" t="s">
        <v>111</v>
      </c>
      <c r="B39" s="16">
        <v>29.435897435897434</v>
      </c>
      <c r="C39"/>
      <c r="D39"/>
      <c r="E39"/>
      <c r="F39"/>
      <c r="G39"/>
      <c r="H39"/>
      <c r="I39"/>
    </row>
    <row r="40" spans="1:9" x14ac:dyDescent="0.25">
      <c r="A40" s="53" t="s">
        <v>112</v>
      </c>
      <c r="B40" s="16">
        <v>0.14427040395713109</v>
      </c>
      <c r="C40"/>
      <c r="D40"/>
      <c r="E40"/>
      <c r="F40"/>
      <c r="G40"/>
      <c r="H40"/>
      <c r="I40"/>
    </row>
    <row r="41" spans="1:9" x14ac:dyDescent="0.25">
      <c r="A41" s="53" t="s">
        <v>113</v>
      </c>
      <c r="B41" s="16">
        <v>-17.77411376751855</v>
      </c>
      <c r="C41"/>
      <c r="D41"/>
      <c r="E41"/>
      <c r="F41"/>
      <c r="G41"/>
      <c r="H41"/>
      <c r="I41"/>
    </row>
    <row r="42" spans="1:9" x14ac:dyDescent="0.25">
      <c r="A42" s="53" t="s">
        <v>114</v>
      </c>
      <c r="B42" s="16">
        <v>-17.629843363561417</v>
      </c>
      <c r="C42"/>
      <c r="D42"/>
      <c r="E42"/>
      <c r="F42"/>
      <c r="G42"/>
      <c r="H42"/>
      <c r="I42"/>
    </row>
    <row r="43" spans="1:9" x14ac:dyDescent="0.25">
      <c r="A43" s="53" t="s">
        <v>115</v>
      </c>
      <c r="B43" s="16">
        <v>-17.629843363561417</v>
      </c>
      <c r="C43"/>
      <c r="D43"/>
      <c r="E43"/>
      <c r="F43"/>
      <c r="G43"/>
      <c r="H43"/>
      <c r="I43"/>
    </row>
  </sheetData>
  <mergeCells count="2"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Income Statement</vt:lpstr>
      <vt:lpstr>Common Sized Income Statement</vt:lpstr>
      <vt:lpstr>Balance Sheet</vt:lpstr>
      <vt:lpstr>Common Sized Balance Sheet</vt:lpstr>
      <vt:lpstr>Financing</vt:lpstr>
      <vt:lpstr>Other Properties Rev</vt:lpstr>
      <vt:lpstr>Project</vt:lpstr>
      <vt:lpstr>Ratios and WACC</vt:lpstr>
      <vt:lpstr>DuPont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2018-11-27T20:00:01Z</dcterms:created>
  <dcterms:modified xsi:type="dcterms:W3CDTF">2018-12-03T03:57:40Z</dcterms:modified>
</cp:coreProperties>
</file>